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workbookProtection workbookAlgorithmName="SHA-512" workbookHashValue="g0iw6Z0Hx2W5oXSqLjgivZMHMu385Mrq6aF2GSWv+OSyWOmKawhQGoU0iL1cwaef7KOOXc+toIxBO0mh9rhTew==" workbookSaltValue="Q90Q1CoRYQQARsbAFLbP9A==" workbookSpinCount="100000" lockStructure="1"/>
  <bookViews>
    <workbookView xWindow="-120" yWindow="-120" windowWidth="20730" windowHeight="11760"/>
  </bookViews>
  <sheets>
    <sheet name="Summary" sheetId="17" r:id="rId1"/>
    <sheet name="Inputs" sheetId="6" r:id="rId2"/>
    <sheet name="Cashflow_TDH" sheetId="10" state="hidden" r:id="rId3"/>
    <sheet name="Harvest Lvl" sheetId="19" state="hidden" r:id="rId4"/>
    <sheet name="Clearfelling" sheetId="16" state="hidden" r:id="rId5"/>
    <sheet name="others" sheetId="15" state="hidden" r:id="rId6"/>
  </sheets>
  <definedNames>
    <definedName name="Age">Inputs!$E$5</definedName>
    <definedName name="AnnualCost">Inputs!$G$14</definedName>
    <definedName name="Area">Inputs!$H$5</definedName>
    <definedName name="DiscRate">Summary!$D$8</definedName>
    <definedName name="DistEx">Inputs!$K$5</definedName>
    <definedName name="DistPulp">Inputs!$M$5</definedName>
    <definedName name="Forest">Inputs!$C$5</definedName>
    <definedName name="HarvestCosts">Inputs!$I$9:$K$15</definedName>
    <definedName name="Hauler">Inputs!$I$5</definedName>
    <definedName name="LandRate">Inputs!$G$17</definedName>
    <definedName name="Log_prices">Inputs!$C$8:$D$15</definedName>
    <definedName name="Others">Inputs!$N$14:$O$15</definedName>
    <definedName name="Rates">Inputs!$G$15</definedName>
    <definedName name="Roading">Inputs!$N$9:$P$11</definedName>
    <definedName name="Spp">Inputs!$F$5</definedName>
    <definedName name="StandInfo">Inputs!$C$4:$S$5</definedName>
    <definedName name="YieldTable">Inputs!$B$21:$AA$174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7" i="16" l="1"/>
  <c r="C56" i="16"/>
  <c r="C55" i="16"/>
  <c r="C54" i="16"/>
  <c r="C53" i="16"/>
  <c r="O71" i="16" l="1"/>
  <c r="P71" i="16"/>
  <c r="Q71" i="16"/>
  <c r="R71" i="16"/>
  <c r="S71" i="16"/>
  <c r="T71" i="16"/>
  <c r="U71" i="16"/>
  <c r="V71" i="16"/>
  <c r="W71" i="16"/>
  <c r="X71" i="16"/>
  <c r="G14" i="6" l="1"/>
  <c r="H22" i="10" l="1"/>
  <c r="H15" i="17"/>
  <c r="H14" i="17"/>
  <c r="H13" i="17"/>
  <c r="D15" i="17"/>
  <c r="D14" i="17"/>
  <c r="D13" i="17"/>
  <c r="E44" i="16"/>
  <c r="G4" i="17" l="1"/>
  <c r="G5" i="17"/>
  <c r="G6" i="17"/>
  <c r="F60" i="10" l="1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X60" i="10"/>
  <c r="E60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X59" i="10"/>
  <c r="E59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X58" i="10"/>
  <c r="E58" i="10"/>
  <c r="F60" i="19"/>
  <c r="G60" i="19"/>
  <c r="H60" i="19"/>
  <c r="I60" i="19"/>
  <c r="J60" i="19"/>
  <c r="K60" i="19"/>
  <c r="L60" i="19"/>
  <c r="M60" i="19"/>
  <c r="N60" i="19"/>
  <c r="O60" i="19"/>
  <c r="P60" i="19"/>
  <c r="Q60" i="19"/>
  <c r="R60" i="19"/>
  <c r="S60" i="19"/>
  <c r="T60" i="19"/>
  <c r="U60" i="19"/>
  <c r="V60" i="19"/>
  <c r="W60" i="19"/>
  <c r="X60" i="19"/>
  <c r="E60" i="19"/>
  <c r="F59" i="19"/>
  <c r="G59" i="19"/>
  <c r="H59" i="19"/>
  <c r="I59" i="19"/>
  <c r="J59" i="19"/>
  <c r="K59" i="19"/>
  <c r="L59" i="19"/>
  <c r="M59" i="19"/>
  <c r="N59" i="19"/>
  <c r="O59" i="19"/>
  <c r="P59" i="19"/>
  <c r="Q59" i="19"/>
  <c r="R59" i="19"/>
  <c r="S59" i="19"/>
  <c r="T59" i="19"/>
  <c r="U59" i="19"/>
  <c r="V59" i="19"/>
  <c r="W59" i="19"/>
  <c r="X59" i="19"/>
  <c r="E59" i="19"/>
  <c r="F58" i="19"/>
  <c r="G58" i="19"/>
  <c r="H58" i="19"/>
  <c r="I58" i="19"/>
  <c r="J58" i="19"/>
  <c r="K58" i="19"/>
  <c r="L58" i="19"/>
  <c r="M58" i="19"/>
  <c r="N58" i="19"/>
  <c r="O58" i="19"/>
  <c r="P58" i="19"/>
  <c r="Q58" i="19"/>
  <c r="R58" i="19"/>
  <c r="S58" i="19"/>
  <c r="T58" i="19"/>
  <c r="U58" i="19"/>
  <c r="V58" i="19"/>
  <c r="W58" i="19"/>
  <c r="X58" i="19"/>
  <c r="E58" i="19"/>
  <c r="E45" i="16"/>
  <c r="E43" i="16"/>
  <c r="D8" i="17" l="1"/>
  <c r="D4" i="17"/>
  <c r="F44" i="16" l="1"/>
  <c r="G44" i="16" s="1"/>
  <c r="H44" i="16" s="1"/>
  <c r="I44" i="16" s="1"/>
  <c r="J44" i="16" s="1"/>
  <c r="K44" i="16" s="1"/>
  <c r="L44" i="16" s="1"/>
  <c r="M44" i="16" s="1"/>
  <c r="N44" i="16" s="1"/>
  <c r="E53" i="16"/>
  <c r="F55" i="16"/>
  <c r="J55" i="16"/>
  <c r="N55" i="16"/>
  <c r="I56" i="16"/>
  <c r="M56" i="16"/>
  <c r="H57" i="16"/>
  <c r="L57" i="16"/>
  <c r="G54" i="16"/>
  <c r="K54" i="16"/>
  <c r="E54" i="16"/>
  <c r="E57" i="16"/>
  <c r="I53" i="16"/>
  <c r="M53" i="16"/>
  <c r="G55" i="16"/>
  <c r="K55" i="16"/>
  <c r="F56" i="16"/>
  <c r="J56" i="16"/>
  <c r="N56" i="16"/>
  <c r="I57" i="16"/>
  <c r="M57" i="16"/>
  <c r="H54" i="16"/>
  <c r="L54" i="16"/>
  <c r="F53" i="16"/>
  <c r="J53" i="16"/>
  <c r="N53" i="16"/>
  <c r="H55" i="16"/>
  <c r="L55" i="16"/>
  <c r="G56" i="16"/>
  <c r="K56" i="16"/>
  <c r="F57" i="16"/>
  <c r="J57" i="16"/>
  <c r="N57" i="16"/>
  <c r="I54" i="16"/>
  <c r="M54" i="16"/>
  <c r="E55" i="16"/>
  <c r="G53" i="16"/>
  <c r="K53" i="16"/>
  <c r="I55" i="16"/>
  <c r="M55" i="16"/>
  <c r="H56" i="16"/>
  <c r="L56" i="16"/>
  <c r="G57" i="16"/>
  <c r="K57" i="16"/>
  <c r="F54" i="16"/>
  <c r="J54" i="16"/>
  <c r="N54" i="16"/>
  <c r="E56" i="16"/>
  <c r="H53" i="16"/>
  <c r="L53" i="16"/>
  <c r="F43" i="16"/>
  <c r="G43" i="16" s="1"/>
  <c r="H43" i="16" s="1"/>
  <c r="I43" i="16" s="1"/>
  <c r="J43" i="16" s="1"/>
  <c r="K43" i="16" s="1"/>
  <c r="L43" i="16" s="1"/>
  <c r="M43" i="16" s="1"/>
  <c r="N43" i="16" s="1"/>
  <c r="O44" i="16"/>
  <c r="P44" i="16" s="1"/>
  <c r="Q44" i="16" s="1"/>
  <c r="R44" i="16" s="1"/>
  <c r="S44" i="16" s="1"/>
  <c r="T44" i="16" s="1"/>
  <c r="U44" i="16" s="1"/>
  <c r="V44" i="16" s="1"/>
  <c r="W44" i="16" s="1"/>
  <c r="X44" i="16" s="1"/>
  <c r="F45" i="16"/>
  <c r="G45" i="16" s="1"/>
  <c r="H45" i="16" s="1"/>
  <c r="I45" i="16" s="1"/>
  <c r="J45" i="16" s="1"/>
  <c r="K45" i="16" s="1"/>
  <c r="L45" i="16" s="1"/>
  <c r="M45" i="16" s="1"/>
  <c r="N45" i="16" s="1"/>
  <c r="K58" i="16" l="1"/>
  <c r="L58" i="16"/>
  <c r="N58" i="16"/>
  <c r="M58" i="16"/>
  <c r="H58" i="16"/>
  <c r="G58" i="16"/>
  <c r="J58" i="16"/>
  <c r="I58" i="16"/>
  <c r="E58" i="16"/>
  <c r="F58" i="16"/>
  <c r="F31" i="16"/>
  <c r="G31" i="16"/>
  <c r="H31" i="16"/>
  <c r="I31" i="16"/>
  <c r="J31" i="16"/>
  <c r="K31" i="16"/>
  <c r="L31" i="16"/>
  <c r="M31" i="16"/>
  <c r="N31" i="16"/>
  <c r="E31" i="16"/>
  <c r="E39" i="16" l="1"/>
  <c r="F39" i="16" s="1"/>
  <c r="G39" i="16" s="1"/>
  <c r="H39" i="16" s="1"/>
  <c r="I39" i="16" s="1"/>
  <c r="J39" i="16" s="1"/>
  <c r="K39" i="16" s="1"/>
  <c r="L39" i="16" s="1"/>
  <c r="M39" i="16" s="1"/>
  <c r="N39" i="16" s="1"/>
  <c r="F20" i="16"/>
  <c r="G20" i="16"/>
  <c r="H20" i="16"/>
  <c r="I20" i="16"/>
  <c r="J20" i="16"/>
  <c r="K20" i="16"/>
  <c r="L20" i="16"/>
  <c r="M20" i="16"/>
  <c r="N20" i="16"/>
  <c r="F21" i="16"/>
  <c r="G21" i="16"/>
  <c r="H21" i="16"/>
  <c r="I21" i="16"/>
  <c r="J21" i="16"/>
  <c r="K21" i="16"/>
  <c r="L21" i="16"/>
  <c r="M21" i="16"/>
  <c r="N21" i="16"/>
  <c r="F22" i="16"/>
  <c r="G22" i="16"/>
  <c r="H22" i="16"/>
  <c r="I22" i="16"/>
  <c r="J22" i="16"/>
  <c r="K22" i="16"/>
  <c r="L22" i="16"/>
  <c r="M22" i="16"/>
  <c r="N22" i="16"/>
  <c r="F23" i="16"/>
  <c r="G23" i="16"/>
  <c r="H23" i="16"/>
  <c r="I23" i="16"/>
  <c r="J23" i="16"/>
  <c r="K23" i="16"/>
  <c r="L23" i="16"/>
  <c r="M23" i="16"/>
  <c r="N23" i="16"/>
  <c r="F24" i="16"/>
  <c r="G24" i="16"/>
  <c r="H24" i="16"/>
  <c r="I24" i="16"/>
  <c r="J24" i="16"/>
  <c r="K24" i="16"/>
  <c r="L24" i="16"/>
  <c r="M24" i="16"/>
  <c r="N24" i="16"/>
  <c r="F25" i="16"/>
  <c r="G25" i="16"/>
  <c r="H25" i="16"/>
  <c r="I25" i="16"/>
  <c r="J25" i="16"/>
  <c r="K25" i="16"/>
  <c r="L25" i="16"/>
  <c r="M25" i="16"/>
  <c r="N25" i="16"/>
  <c r="F26" i="16"/>
  <c r="G26" i="16"/>
  <c r="H26" i="16"/>
  <c r="I26" i="16"/>
  <c r="J26" i="16"/>
  <c r="K26" i="16"/>
  <c r="L26" i="16"/>
  <c r="M26" i="16"/>
  <c r="N26" i="16"/>
  <c r="E21" i="16"/>
  <c r="E22" i="16"/>
  <c r="E23" i="16"/>
  <c r="E24" i="16"/>
  <c r="E25" i="16"/>
  <c r="E26" i="16"/>
  <c r="E20" i="16"/>
  <c r="E4" i="16"/>
  <c r="F4" i="16" s="1"/>
  <c r="G4" i="16" s="1"/>
  <c r="H4" i="16" s="1"/>
  <c r="I4" i="16" s="1"/>
  <c r="J4" i="16" s="1"/>
  <c r="K4" i="16" s="1"/>
  <c r="L4" i="16" s="1"/>
  <c r="M4" i="16" s="1"/>
  <c r="N4" i="16" s="1"/>
  <c r="AA3" i="19"/>
  <c r="Y61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C6" i="19"/>
  <c r="Y5" i="19"/>
  <c r="C5" i="19"/>
  <c r="E4" i="19"/>
  <c r="F4" i="19" s="1"/>
  <c r="G4" i="19" s="1"/>
  <c r="H4" i="19" s="1"/>
  <c r="I4" i="19" s="1"/>
  <c r="J4" i="19" s="1"/>
  <c r="K4" i="19" s="1"/>
  <c r="L4" i="19" s="1"/>
  <c r="M4" i="19" s="1"/>
  <c r="N4" i="19" s="1"/>
  <c r="O4" i="19" s="1"/>
  <c r="P4" i="19" s="1"/>
  <c r="Q4" i="19" s="1"/>
  <c r="R4" i="19" s="1"/>
  <c r="S4" i="19" s="1"/>
  <c r="T4" i="19" s="1"/>
  <c r="U4" i="19" s="1"/>
  <c r="V4" i="19" s="1"/>
  <c r="W4" i="19" s="1"/>
  <c r="X4" i="19" s="1"/>
  <c r="C4" i="19"/>
  <c r="E4" i="10"/>
  <c r="F4" i="10" s="1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R4" i="10" s="1"/>
  <c r="S4" i="10" s="1"/>
  <c r="T4" i="10" s="1"/>
  <c r="U4" i="10" s="1"/>
  <c r="V4" i="10" s="1"/>
  <c r="W4" i="10" s="1"/>
  <c r="X4" i="10" s="1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F22" i="10"/>
  <c r="G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E20" i="10"/>
  <c r="E21" i="10"/>
  <c r="E22" i="10"/>
  <c r="E23" i="10"/>
  <c r="E24" i="10"/>
  <c r="E25" i="10"/>
  <c r="B103" i="6" l="1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X61" i="19" l="1"/>
  <c r="T61" i="19"/>
  <c r="P61" i="19"/>
  <c r="L61" i="19"/>
  <c r="H61" i="19"/>
  <c r="W61" i="19"/>
  <c r="S61" i="19"/>
  <c r="O61" i="19"/>
  <c r="K61" i="19"/>
  <c r="G61" i="19"/>
  <c r="V61" i="19"/>
  <c r="R61" i="19"/>
  <c r="N61" i="19"/>
  <c r="J61" i="19"/>
  <c r="F61" i="19"/>
  <c r="U61" i="19"/>
  <c r="Q61" i="19"/>
  <c r="M61" i="19"/>
  <c r="I61" i="19"/>
  <c r="E61" i="19"/>
  <c r="H61" i="10"/>
  <c r="C4" i="10"/>
  <c r="C4" i="16" l="1"/>
  <c r="Y5" i="10"/>
  <c r="C6" i="10"/>
  <c r="C5" i="10"/>
  <c r="E16" i="16" l="1"/>
  <c r="F16" i="16"/>
  <c r="Y14" i="10"/>
  <c r="Y36" i="10" s="1"/>
  <c r="Y10" i="10"/>
  <c r="O6" i="17" s="1"/>
  <c r="Y12" i="10"/>
  <c r="Y8" i="10"/>
  <c r="Y9" i="10"/>
  <c r="Y16" i="10"/>
  <c r="Y11" i="10"/>
  <c r="Y13" i="10"/>
  <c r="I11" i="10"/>
  <c r="U8" i="10"/>
  <c r="V11" i="10"/>
  <c r="W14" i="10"/>
  <c r="W36" i="10" s="1"/>
  <c r="P16" i="10"/>
  <c r="X10" i="10"/>
  <c r="T8" i="10"/>
  <c r="U11" i="10"/>
  <c r="V14" i="10"/>
  <c r="V36" i="10" s="1"/>
  <c r="M10" i="10"/>
  <c r="S10" i="10"/>
  <c r="O14" i="10"/>
  <c r="O36" i="10" s="1"/>
  <c r="U9" i="10"/>
  <c r="L8" i="10"/>
  <c r="T16" i="10"/>
  <c r="W10" i="10"/>
  <c r="I8" i="10"/>
  <c r="J11" i="10"/>
  <c r="K14" i="10"/>
  <c r="K36" i="10" s="1"/>
  <c r="N13" i="10"/>
  <c r="L10" i="10"/>
  <c r="M13" i="10"/>
  <c r="R9" i="10"/>
  <c r="H8" i="10"/>
  <c r="E16" i="10"/>
  <c r="S8" i="10"/>
  <c r="K11" i="10"/>
  <c r="G16" i="10"/>
  <c r="G9" i="10"/>
  <c r="S13" i="10"/>
  <c r="G10" i="10"/>
  <c r="T10" i="10"/>
  <c r="Q11" i="10"/>
  <c r="N8" i="10"/>
  <c r="L12" i="10"/>
  <c r="J12" i="10"/>
  <c r="G13" i="10"/>
  <c r="E13" i="10"/>
  <c r="W13" i="10"/>
  <c r="G11" i="10"/>
  <c r="T12" i="10"/>
  <c r="J8" i="10"/>
  <c r="E10" i="10"/>
  <c r="W9" i="10"/>
  <c r="I16" i="10"/>
  <c r="U13" i="10"/>
  <c r="R14" i="10"/>
  <c r="R36" i="10" s="1"/>
  <c r="H13" i="10"/>
  <c r="X13" i="10"/>
  <c r="K8" i="10"/>
  <c r="K9" i="10"/>
  <c r="Q10" i="10"/>
  <c r="N9" i="10"/>
  <c r="G12" i="10"/>
  <c r="M16" i="10"/>
  <c r="E8" i="10"/>
  <c r="S12" i="10"/>
  <c r="H10" i="10"/>
  <c r="I13" i="10"/>
  <c r="F9" i="10"/>
  <c r="H16" i="10"/>
  <c r="E11" i="10"/>
  <c r="X9" i="10"/>
  <c r="E14" i="10"/>
  <c r="E36" i="10" s="1"/>
  <c r="N14" i="10"/>
  <c r="N36" i="10" s="1"/>
  <c r="F13" i="10"/>
  <c r="P13" i="10"/>
  <c r="R12" i="10"/>
  <c r="M14" i="10"/>
  <c r="M36" i="10" s="1"/>
  <c r="I12" i="10"/>
  <c r="L14" i="10"/>
  <c r="L36" i="10" s="1"/>
  <c r="H12" i="10"/>
  <c r="P8" i="10"/>
  <c r="I9" i="10"/>
  <c r="J9" i="10"/>
  <c r="P9" i="10"/>
  <c r="Q12" i="10"/>
  <c r="R16" i="10"/>
  <c r="R8" i="10"/>
  <c r="S11" i="10"/>
  <c r="T14" i="10"/>
  <c r="T36" i="10" s="1"/>
  <c r="O12" i="10"/>
  <c r="O9" i="10"/>
  <c r="P12" i="10"/>
  <c r="Q16" i="10"/>
  <c r="M8" i="10"/>
  <c r="N11" i="10"/>
  <c r="J16" i="10"/>
  <c r="V12" i="10"/>
  <c r="R10" i="10"/>
  <c r="L11" i="10"/>
  <c r="G8" i="10"/>
  <c r="E12" i="10"/>
  <c r="F16" i="10"/>
  <c r="F8" i="10"/>
  <c r="H14" i="10"/>
  <c r="H36" i="10" s="1"/>
  <c r="H11" i="10"/>
  <c r="X8" i="10"/>
  <c r="U16" i="10"/>
  <c r="F12" i="10"/>
  <c r="R11" i="10"/>
  <c r="O11" i="10"/>
  <c r="K16" i="10"/>
  <c r="R13" i="10"/>
  <c r="F11" i="10"/>
  <c r="O8" i="10"/>
  <c r="T13" i="10"/>
  <c r="L9" i="10"/>
  <c r="U10" i="10"/>
  <c r="S16" i="10"/>
  <c r="J14" i="10"/>
  <c r="J36" i="10" s="1"/>
  <c r="U14" i="10"/>
  <c r="U36" i="10" s="1"/>
  <c r="Q14" i="10"/>
  <c r="Q36" i="10" s="1"/>
  <c r="X11" i="10"/>
  <c r="V10" i="10"/>
  <c r="K12" i="10"/>
  <c r="K10" i="10"/>
  <c r="L13" i="10"/>
  <c r="I10" i="10"/>
  <c r="M9" i="10"/>
  <c r="N12" i="10"/>
  <c r="O16" i="10"/>
  <c r="V13" i="10"/>
  <c r="J10" i="10"/>
  <c r="K13" i="10"/>
  <c r="X16" i="10"/>
  <c r="H9" i="10"/>
  <c r="P11" i="10"/>
  <c r="W16" i="10"/>
  <c r="X12" i="10"/>
  <c r="L16" i="10"/>
  <c r="V9" i="10"/>
  <c r="T9" i="10"/>
  <c r="U12" i="10"/>
  <c r="V16" i="10"/>
  <c r="V8" i="10"/>
  <c r="W11" i="10"/>
  <c r="X14" i="10"/>
  <c r="X36" i="10" s="1"/>
  <c r="W12" i="10"/>
  <c r="S9" i="10"/>
  <c r="O13" i="10"/>
  <c r="I14" i="10"/>
  <c r="I36" i="10" s="1"/>
  <c r="E9" i="10"/>
  <c r="Q13" i="10"/>
  <c r="T11" i="10"/>
  <c r="M11" i="10"/>
  <c r="W8" i="10"/>
  <c r="S14" i="10"/>
  <c r="S36" i="10" s="1"/>
  <c r="M12" i="10"/>
  <c r="P14" i="10"/>
  <c r="P36" i="10" s="1"/>
  <c r="G14" i="10"/>
  <c r="G36" i="10" s="1"/>
  <c r="F14" i="10"/>
  <c r="F36" i="10" s="1"/>
  <c r="J13" i="10"/>
  <c r="O10" i="10"/>
  <c r="Q9" i="10"/>
  <c r="N10" i="10"/>
  <c r="P10" i="10"/>
  <c r="Q8" i="10"/>
  <c r="N16" i="10"/>
  <c r="F10" i="10"/>
  <c r="G16" i="16"/>
  <c r="K16" i="16"/>
  <c r="H9" i="16"/>
  <c r="L9" i="16"/>
  <c r="F10" i="16"/>
  <c r="J10" i="16"/>
  <c r="N10" i="16"/>
  <c r="H11" i="16"/>
  <c r="L11" i="16"/>
  <c r="F12" i="16"/>
  <c r="J12" i="16"/>
  <c r="N12" i="16"/>
  <c r="H13" i="16"/>
  <c r="L13" i="16"/>
  <c r="F14" i="16"/>
  <c r="F37" i="16" s="1"/>
  <c r="J14" i="16"/>
  <c r="J37" i="16" s="1"/>
  <c r="N14" i="16"/>
  <c r="N37" i="16" s="1"/>
  <c r="I8" i="16"/>
  <c r="M8" i="16"/>
  <c r="H16" i="16"/>
  <c r="L16" i="16"/>
  <c r="E9" i="16"/>
  <c r="I9" i="16"/>
  <c r="M9" i="16"/>
  <c r="G10" i="16"/>
  <c r="K10" i="16"/>
  <c r="E11" i="16"/>
  <c r="I11" i="16"/>
  <c r="M11" i="16"/>
  <c r="G12" i="16"/>
  <c r="K12" i="16"/>
  <c r="E13" i="16"/>
  <c r="I13" i="16"/>
  <c r="M13" i="16"/>
  <c r="G14" i="16"/>
  <c r="G37" i="16" s="1"/>
  <c r="K14" i="16"/>
  <c r="K37" i="16" s="1"/>
  <c r="F8" i="16"/>
  <c r="J8" i="16"/>
  <c r="N8" i="16"/>
  <c r="I16" i="16"/>
  <c r="M16" i="16"/>
  <c r="F9" i="16"/>
  <c r="J9" i="16"/>
  <c r="N9" i="16"/>
  <c r="H10" i="16"/>
  <c r="L10" i="16"/>
  <c r="F11" i="16"/>
  <c r="J11" i="16"/>
  <c r="N11" i="16"/>
  <c r="H12" i="16"/>
  <c r="L12" i="16"/>
  <c r="F13" i="16"/>
  <c r="J13" i="16"/>
  <c r="N13" i="16"/>
  <c r="H14" i="16"/>
  <c r="H37" i="16" s="1"/>
  <c r="L14" i="16"/>
  <c r="L37" i="16" s="1"/>
  <c r="G8" i="16"/>
  <c r="K8" i="16"/>
  <c r="E8" i="16"/>
  <c r="J16" i="16"/>
  <c r="N16" i="16"/>
  <c r="G9" i="16"/>
  <c r="K9" i="16"/>
  <c r="E10" i="16"/>
  <c r="I10" i="16"/>
  <c r="M10" i="16"/>
  <c r="G11" i="16"/>
  <c r="K11" i="16"/>
  <c r="E12" i="16"/>
  <c r="I12" i="16"/>
  <c r="M12" i="16"/>
  <c r="G13" i="16"/>
  <c r="K13" i="16"/>
  <c r="E14" i="16"/>
  <c r="E37" i="16" s="1"/>
  <c r="I14" i="16"/>
  <c r="I37" i="16" s="1"/>
  <c r="M14" i="16"/>
  <c r="M37" i="16" s="1"/>
  <c r="H8" i="16"/>
  <c r="L8" i="16"/>
  <c r="O31" i="16"/>
  <c r="P31" i="16"/>
  <c r="Q31" i="16"/>
  <c r="R31" i="16"/>
  <c r="S31" i="16"/>
  <c r="T31" i="16"/>
  <c r="U31" i="16"/>
  <c r="V31" i="16"/>
  <c r="W31" i="16"/>
  <c r="X31" i="16"/>
  <c r="E35" i="16" l="1"/>
  <c r="F17" i="16"/>
  <c r="F15" i="16" s="1"/>
  <c r="E34" i="10"/>
  <c r="F34" i="10"/>
  <c r="F35" i="16"/>
  <c r="R34" i="10"/>
  <c r="Q34" i="10"/>
  <c r="I34" i="10"/>
  <c r="X34" i="10"/>
  <c r="V34" i="10"/>
  <c r="U34" i="10"/>
  <c r="M34" i="10"/>
  <c r="K34" i="10"/>
  <c r="E17" i="10"/>
  <c r="E15" i="10" s="1"/>
  <c r="W34" i="10"/>
  <c r="L34" i="10"/>
  <c r="Y34" i="10"/>
  <c r="H34" i="10"/>
  <c r="J34" i="10"/>
  <c r="N34" i="10"/>
  <c r="S34" i="10"/>
  <c r="T34" i="10"/>
  <c r="O34" i="10"/>
  <c r="G34" i="10"/>
  <c r="P34" i="10"/>
  <c r="N35" i="16"/>
  <c r="L35" i="16"/>
  <c r="N27" i="16"/>
  <c r="I35" i="16"/>
  <c r="M35" i="16"/>
  <c r="K35" i="16"/>
  <c r="G35" i="16"/>
  <c r="E27" i="16"/>
  <c r="H35" i="16"/>
  <c r="J35" i="16"/>
  <c r="E61" i="16"/>
  <c r="X4" i="16"/>
  <c r="W4" i="16"/>
  <c r="V4" i="16"/>
  <c r="U4" i="16"/>
  <c r="T4" i="16"/>
  <c r="S4" i="16"/>
  <c r="R4" i="16"/>
  <c r="Q4" i="16"/>
  <c r="P4" i="16"/>
  <c r="O4" i="16"/>
  <c r="N61" i="16"/>
  <c r="M61" i="16"/>
  <c r="L61" i="16"/>
  <c r="K61" i="16"/>
  <c r="J61" i="16"/>
  <c r="I61" i="16"/>
  <c r="H61" i="16"/>
  <c r="G61" i="16"/>
  <c r="F61" i="16"/>
  <c r="E29" i="10" l="1"/>
  <c r="E33" i="10"/>
  <c r="E31" i="10"/>
  <c r="E17" i="19"/>
  <c r="E32" i="10"/>
  <c r="E30" i="10"/>
  <c r="X45" i="16"/>
  <c r="W45" i="16"/>
  <c r="V45" i="16"/>
  <c r="U45" i="16"/>
  <c r="T45" i="16"/>
  <c r="S45" i="16"/>
  <c r="R45" i="16"/>
  <c r="Q45" i="16"/>
  <c r="P45" i="16"/>
  <c r="O45" i="16"/>
  <c r="X26" i="16"/>
  <c r="W26" i="16"/>
  <c r="V26" i="16"/>
  <c r="U26" i="16"/>
  <c r="T26" i="16"/>
  <c r="S26" i="16"/>
  <c r="R26" i="16"/>
  <c r="Q26" i="16"/>
  <c r="P26" i="16"/>
  <c r="O26" i="16"/>
  <c r="X25" i="16"/>
  <c r="W25" i="16"/>
  <c r="V25" i="16"/>
  <c r="U25" i="16"/>
  <c r="T25" i="16"/>
  <c r="S25" i="16"/>
  <c r="R25" i="16"/>
  <c r="Q25" i="16"/>
  <c r="P25" i="16"/>
  <c r="O25" i="16"/>
  <c r="X24" i="16"/>
  <c r="W24" i="16"/>
  <c r="V24" i="16"/>
  <c r="U24" i="16"/>
  <c r="T24" i="16"/>
  <c r="S24" i="16"/>
  <c r="R24" i="16"/>
  <c r="Q24" i="16"/>
  <c r="P24" i="16"/>
  <c r="O24" i="16"/>
  <c r="X23" i="16"/>
  <c r="W23" i="16"/>
  <c r="V23" i="16"/>
  <c r="U23" i="16"/>
  <c r="T23" i="16"/>
  <c r="S23" i="16"/>
  <c r="R23" i="16"/>
  <c r="Q23" i="16"/>
  <c r="P23" i="16"/>
  <c r="O23" i="16"/>
  <c r="X22" i="16"/>
  <c r="W22" i="16"/>
  <c r="V22" i="16"/>
  <c r="U22" i="16"/>
  <c r="T22" i="16"/>
  <c r="S22" i="16"/>
  <c r="R22" i="16"/>
  <c r="Q22" i="16"/>
  <c r="P22" i="16"/>
  <c r="O22" i="16"/>
  <c r="X21" i="16"/>
  <c r="W21" i="16"/>
  <c r="V21" i="16"/>
  <c r="U21" i="16"/>
  <c r="T21" i="16"/>
  <c r="S21" i="16"/>
  <c r="R21" i="16"/>
  <c r="Q21" i="16"/>
  <c r="P21" i="16"/>
  <c r="O21" i="16"/>
  <c r="X20" i="16"/>
  <c r="W20" i="16"/>
  <c r="V20" i="16"/>
  <c r="U20" i="16"/>
  <c r="T20" i="16"/>
  <c r="S20" i="16"/>
  <c r="R20" i="16"/>
  <c r="Q20" i="16"/>
  <c r="P20" i="16"/>
  <c r="O20" i="16"/>
  <c r="F3" i="16"/>
  <c r="E30" i="19" l="1"/>
  <c r="E29" i="19"/>
  <c r="E32" i="19"/>
  <c r="E31" i="19"/>
  <c r="E33" i="19"/>
  <c r="G3" i="16"/>
  <c r="O39" i="16"/>
  <c r="P39" i="16" s="1"/>
  <c r="Q39" i="16" s="1"/>
  <c r="R39" i="16" s="1"/>
  <c r="S39" i="16" s="1"/>
  <c r="T39" i="16" s="1"/>
  <c r="U39" i="16" s="1"/>
  <c r="V39" i="16" s="1"/>
  <c r="W39" i="16" s="1"/>
  <c r="X39" i="16" s="1"/>
  <c r="H3" i="16" l="1"/>
  <c r="I3" i="16" l="1"/>
  <c r="Y61" i="10"/>
  <c r="J3" i="16" l="1"/>
  <c r="K3" i="16" l="1"/>
  <c r="X16" i="16"/>
  <c r="T16" i="16"/>
  <c r="P16" i="16"/>
  <c r="L63" i="16"/>
  <c r="H63" i="16"/>
  <c r="X14" i="16"/>
  <c r="X37" i="16" s="1"/>
  <c r="T14" i="16"/>
  <c r="T37" i="16" s="1"/>
  <c r="P14" i="16"/>
  <c r="P37" i="16" s="1"/>
  <c r="X13" i="16"/>
  <c r="T13" i="16"/>
  <c r="P13" i="16"/>
  <c r="X12" i="16"/>
  <c r="T12" i="16"/>
  <c r="P12" i="16"/>
  <c r="X11" i="16"/>
  <c r="T11" i="16"/>
  <c r="P11" i="16"/>
  <c r="X10" i="16"/>
  <c r="T10" i="16"/>
  <c r="P10" i="16"/>
  <c r="X9" i="16"/>
  <c r="T9" i="16"/>
  <c r="P9" i="16"/>
  <c r="X8" i="16"/>
  <c r="S8" i="16"/>
  <c r="R16" i="16"/>
  <c r="F63" i="16"/>
  <c r="V13" i="16"/>
  <c r="R12" i="16"/>
  <c r="V10" i="16"/>
  <c r="V9" i="16"/>
  <c r="W16" i="16"/>
  <c r="S16" i="16"/>
  <c r="O16" i="16"/>
  <c r="K63" i="16"/>
  <c r="G63" i="16"/>
  <c r="W14" i="16"/>
  <c r="W37" i="16" s="1"/>
  <c r="S14" i="16"/>
  <c r="S37" i="16" s="1"/>
  <c r="O14" i="16"/>
  <c r="O37" i="16" s="1"/>
  <c r="W13" i="16"/>
  <c r="S13" i="16"/>
  <c r="O13" i="16"/>
  <c r="W12" i="16"/>
  <c r="S12" i="16"/>
  <c r="O12" i="16"/>
  <c r="W11" i="16"/>
  <c r="S11" i="16"/>
  <c r="O11" i="16"/>
  <c r="W10" i="16"/>
  <c r="S10" i="16"/>
  <c r="O10" i="16"/>
  <c r="W9" i="16"/>
  <c r="S9" i="16"/>
  <c r="O9" i="16"/>
  <c r="O8" i="16"/>
  <c r="V16" i="16"/>
  <c r="J63" i="16"/>
  <c r="R14" i="16"/>
  <c r="R37" i="16" s="1"/>
  <c r="V12" i="16"/>
  <c r="R11" i="16"/>
  <c r="R9" i="16"/>
  <c r="R8" i="16"/>
  <c r="U16" i="16"/>
  <c r="Q16" i="16"/>
  <c r="M63" i="16"/>
  <c r="I63" i="16"/>
  <c r="E63" i="16"/>
  <c r="U14" i="16"/>
  <c r="U37" i="16" s="1"/>
  <c r="Q14" i="16"/>
  <c r="Q37" i="16" s="1"/>
  <c r="U13" i="16"/>
  <c r="Q13" i="16"/>
  <c r="U12" i="16"/>
  <c r="Q12" i="16"/>
  <c r="U11" i="16"/>
  <c r="Q11" i="16"/>
  <c r="U10" i="16"/>
  <c r="Q10" i="16"/>
  <c r="U9" i="16"/>
  <c r="Q9" i="16"/>
  <c r="U8" i="16"/>
  <c r="Q8" i="16"/>
  <c r="T8" i="16"/>
  <c r="P8" i="16"/>
  <c r="W8" i="16"/>
  <c r="N63" i="16"/>
  <c r="V14" i="16"/>
  <c r="V37" i="16" s="1"/>
  <c r="R13" i="16"/>
  <c r="V11" i="16"/>
  <c r="R10" i="16"/>
  <c r="V8" i="16"/>
  <c r="M10" i="17"/>
  <c r="Q6" i="17"/>
  <c r="M6" i="17"/>
  <c r="P6" i="17"/>
  <c r="N6" i="17"/>
  <c r="R6" i="17"/>
  <c r="L3" i="16" l="1"/>
  <c r="AA16" i="10"/>
  <c r="I17" i="10"/>
  <c r="N5" i="17"/>
  <c r="N7" i="17" s="1"/>
  <c r="R5" i="17"/>
  <c r="R7" i="17" s="1"/>
  <c r="AA13" i="10"/>
  <c r="Q5" i="17"/>
  <c r="Q7" i="17" s="1"/>
  <c r="O5" i="17"/>
  <c r="O7" i="17" s="1"/>
  <c r="AA10" i="10"/>
  <c r="P5" i="17"/>
  <c r="P7" i="17" s="1"/>
  <c r="S6" i="17"/>
  <c r="T6" i="17" s="1"/>
  <c r="M5" i="17"/>
  <c r="M7" i="17" s="1"/>
  <c r="S5" i="17"/>
  <c r="M9" i="17"/>
  <c r="P35" i="16"/>
  <c r="R35" i="16"/>
  <c r="U35" i="16"/>
  <c r="X35" i="16"/>
  <c r="V35" i="16"/>
  <c r="T35" i="16"/>
  <c r="S35" i="16"/>
  <c r="W35" i="16"/>
  <c r="Q35" i="16"/>
  <c r="O35" i="16"/>
  <c r="Y17" i="10"/>
  <c r="Y15" i="10" s="1"/>
  <c r="H27" i="16"/>
  <c r="H17" i="16"/>
  <c r="E17" i="16"/>
  <c r="E32" i="16" s="1"/>
  <c r="U17" i="16"/>
  <c r="U27" i="16"/>
  <c r="F27" i="16"/>
  <c r="F32" i="16"/>
  <c r="N17" i="16"/>
  <c r="N30" i="16" s="1"/>
  <c r="X27" i="16"/>
  <c r="X17" i="16"/>
  <c r="J17" i="16"/>
  <c r="J27" i="16"/>
  <c r="P17" i="16"/>
  <c r="P27" i="16"/>
  <c r="I17" i="16"/>
  <c r="I27" i="16"/>
  <c r="R27" i="16"/>
  <c r="R17" i="16"/>
  <c r="G17" i="16"/>
  <c r="G27" i="16"/>
  <c r="Y26" i="10"/>
  <c r="V27" i="16"/>
  <c r="V17" i="16"/>
  <c r="K17" i="16"/>
  <c r="K27" i="16"/>
  <c r="T17" i="16"/>
  <c r="T27" i="16"/>
  <c r="M27" i="16"/>
  <c r="M17" i="16"/>
  <c r="S17" i="16"/>
  <c r="S27" i="16"/>
  <c r="W17" i="16"/>
  <c r="W27" i="16"/>
  <c r="Q27" i="16"/>
  <c r="Q17" i="16"/>
  <c r="O27" i="16"/>
  <c r="O17" i="16"/>
  <c r="L17" i="16"/>
  <c r="L27" i="16"/>
  <c r="AA11" i="10"/>
  <c r="AA9" i="10"/>
  <c r="AA8" i="10"/>
  <c r="AA14" i="10"/>
  <c r="AA12" i="10"/>
  <c r="R26" i="10"/>
  <c r="V26" i="10"/>
  <c r="P26" i="10"/>
  <c r="X26" i="10"/>
  <c r="T26" i="10"/>
  <c r="O26" i="10"/>
  <c r="S26" i="10"/>
  <c r="W26" i="10"/>
  <c r="X17" i="10"/>
  <c r="X15" i="10" s="1"/>
  <c r="T17" i="10"/>
  <c r="T15" i="10" s="1"/>
  <c r="P17" i="10"/>
  <c r="P15" i="10" s="1"/>
  <c r="U26" i="10"/>
  <c r="Q26" i="10"/>
  <c r="W17" i="10"/>
  <c r="W15" i="10" s="1"/>
  <c r="S17" i="10"/>
  <c r="S15" i="10" s="1"/>
  <c r="O17" i="10"/>
  <c r="O15" i="10" s="1"/>
  <c r="V17" i="10"/>
  <c r="V15" i="10" s="1"/>
  <c r="R17" i="10"/>
  <c r="R15" i="10" s="1"/>
  <c r="U17" i="10"/>
  <c r="U15" i="10" s="1"/>
  <c r="Q17" i="10"/>
  <c r="Q15" i="10" s="1"/>
  <c r="I32" i="10" l="1"/>
  <c r="I15" i="10"/>
  <c r="K62" i="16"/>
  <c r="K30" i="16"/>
  <c r="K32" i="16"/>
  <c r="K34" i="16"/>
  <c r="K33" i="16"/>
  <c r="N62" i="16"/>
  <c r="N32" i="16"/>
  <c r="N34" i="16"/>
  <c r="N33" i="16"/>
  <c r="M62" i="16"/>
  <c r="M34" i="16"/>
  <c r="M30" i="16"/>
  <c r="M32" i="16"/>
  <c r="M33" i="16"/>
  <c r="G62" i="16"/>
  <c r="G30" i="16"/>
  <c r="G32" i="16"/>
  <c r="G34" i="16"/>
  <c r="G33" i="16"/>
  <c r="I62" i="16"/>
  <c r="I34" i="16"/>
  <c r="I30" i="16"/>
  <c r="I32" i="16"/>
  <c r="I33" i="16"/>
  <c r="J62" i="16"/>
  <c r="J32" i="16"/>
  <c r="J34" i="16"/>
  <c r="J30" i="16"/>
  <c r="J33" i="16"/>
  <c r="F62" i="16"/>
  <c r="F34" i="16"/>
  <c r="F30" i="16"/>
  <c r="F33" i="16"/>
  <c r="E62" i="16"/>
  <c r="E30" i="16"/>
  <c r="E34" i="16"/>
  <c r="E33" i="16"/>
  <c r="L62" i="16"/>
  <c r="L34" i="16"/>
  <c r="L30" i="16"/>
  <c r="L32" i="16"/>
  <c r="L33" i="16"/>
  <c r="H62" i="16"/>
  <c r="H34" i="16"/>
  <c r="H30" i="16"/>
  <c r="H32" i="16"/>
  <c r="H33" i="16"/>
  <c r="M3" i="16"/>
  <c r="Q32" i="10"/>
  <c r="Q31" i="10"/>
  <c r="Q29" i="10"/>
  <c r="Q33" i="10"/>
  <c r="O29" i="10"/>
  <c r="O33" i="10"/>
  <c r="O32" i="10"/>
  <c r="O31" i="10"/>
  <c r="R33" i="10"/>
  <c r="R32" i="10"/>
  <c r="R31" i="10"/>
  <c r="R29" i="10"/>
  <c r="U32" i="10"/>
  <c r="U33" i="10"/>
  <c r="U31" i="10"/>
  <c r="U29" i="10"/>
  <c r="S29" i="10"/>
  <c r="S31" i="10"/>
  <c r="S33" i="10"/>
  <c r="S32" i="10"/>
  <c r="P31" i="10"/>
  <c r="P29" i="10"/>
  <c r="P32" i="10"/>
  <c r="P33" i="10"/>
  <c r="T31" i="10"/>
  <c r="T29" i="10"/>
  <c r="T33" i="10"/>
  <c r="T32" i="10"/>
  <c r="Y32" i="10"/>
  <c r="Y31" i="10"/>
  <c r="Y33" i="10"/>
  <c r="Y29" i="10"/>
  <c r="I31" i="10"/>
  <c r="I33" i="10"/>
  <c r="I29" i="10"/>
  <c r="W29" i="10"/>
  <c r="W33" i="10"/>
  <c r="W32" i="10"/>
  <c r="W31" i="10"/>
  <c r="V33" i="10"/>
  <c r="V29" i="10"/>
  <c r="V32" i="10"/>
  <c r="V31" i="10"/>
  <c r="X31" i="10"/>
  <c r="X32" i="10"/>
  <c r="X29" i="10"/>
  <c r="X33" i="10"/>
  <c r="S7" i="17"/>
  <c r="T5" i="17"/>
  <c r="T7" i="17" s="1"/>
  <c r="R30" i="16"/>
  <c r="R34" i="16"/>
  <c r="R33" i="16"/>
  <c r="W30" i="16"/>
  <c r="W34" i="16"/>
  <c r="W33" i="16"/>
  <c r="V30" i="16"/>
  <c r="V34" i="16"/>
  <c r="V33" i="16"/>
  <c r="S30" i="16"/>
  <c r="S34" i="16"/>
  <c r="S33" i="16"/>
  <c r="T30" i="16"/>
  <c r="T34" i="16"/>
  <c r="T33" i="16"/>
  <c r="U30" i="16"/>
  <c r="U34" i="16"/>
  <c r="U33" i="16"/>
  <c r="X30" i="16"/>
  <c r="X34" i="16"/>
  <c r="X33" i="16"/>
  <c r="P30" i="16"/>
  <c r="P33" i="16"/>
  <c r="P34" i="16"/>
  <c r="O30" i="16"/>
  <c r="O34" i="16"/>
  <c r="O33" i="16"/>
  <c r="Q30" i="16"/>
  <c r="Q33" i="16"/>
  <c r="Q34" i="16"/>
  <c r="G15" i="16"/>
  <c r="H15" i="16"/>
  <c r="O15" i="16"/>
  <c r="O32" i="16"/>
  <c r="Q32" i="16"/>
  <c r="Q15" i="16"/>
  <c r="W15" i="16"/>
  <c r="W32" i="16"/>
  <c r="M15" i="16"/>
  <c r="T32" i="16"/>
  <c r="T15" i="16"/>
  <c r="E15" i="16"/>
  <c r="V15" i="16"/>
  <c r="V32" i="16"/>
  <c r="P32" i="16"/>
  <c r="P15" i="16"/>
  <c r="J15" i="16"/>
  <c r="U15" i="16"/>
  <c r="U32" i="16"/>
  <c r="I15" i="16"/>
  <c r="L15" i="16"/>
  <c r="S15" i="16"/>
  <c r="S32" i="16"/>
  <c r="K15" i="16"/>
  <c r="R15" i="16"/>
  <c r="R32" i="16"/>
  <c r="X15" i="16"/>
  <c r="X32" i="16"/>
  <c r="N15" i="16"/>
  <c r="N38" i="16" l="1"/>
  <c r="N40" i="16" s="1"/>
  <c r="N3" i="16"/>
  <c r="I38" i="16"/>
  <c r="J38" i="16"/>
  <c r="J40" i="16" s="1"/>
  <c r="P38" i="16"/>
  <c r="P40" i="16" s="1"/>
  <c r="M38" i="16"/>
  <c r="L38" i="16"/>
  <c r="V38" i="16"/>
  <c r="V40" i="16" s="1"/>
  <c r="X38" i="16"/>
  <c r="X40" i="16" s="1"/>
  <c r="R38" i="16"/>
  <c r="R40" i="16" s="1"/>
  <c r="T38" i="16"/>
  <c r="T40" i="16" s="1"/>
  <c r="O38" i="16"/>
  <c r="O40" i="16" s="1"/>
  <c r="E38" i="16"/>
  <c r="F38" i="16"/>
  <c r="G38" i="16"/>
  <c r="K38" i="16"/>
  <c r="S38" i="16"/>
  <c r="S40" i="16" s="1"/>
  <c r="U38" i="16"/>
  <c r="U40" i="16" s="1"/>
  <c r="W38" i="16"/>
  <c r="W40" i="16" s="1"/>
  <c r="Q38" i="16"/>
  <c r="Q40" i="16" s="1"/>
  <c r="H38" i="16"/>
  <c r="O3" i="16" l="1"/>
  <c r="E40" i="16"/>
  <c r="E65" i="16" s="1"/>
  <c r="E64" i="16"/>
  <c r="M40" i="16"/>
  <c r="M65" i="16" s="1"/>
  <c r="M64" i="16"/>
  <c r="H40" i="16"/>
  <c r="H65" i="16" s="1"/>
  <c r="H64" i="16"/>
  <c r="G40" i="16"/>
  <c r="G65" i="16" s="1"/>
  <c r="G64" i="16"/>
  <c r="L40" i="16"/>
  <c r="L65" i="16" s="1"/>
  <c r="L64" i="16"/>
  <c r="J65" i="16"/>
  <c r="J64" i="16"/>
  <c r="K40" i="16"/>
  <c r="K65" i="16" s="1"/>
  <c r="K64" i="16"/>
  <c r="F40" i="16"/>
  <c r="F65" i="16" s="1"/>
  <c r="F64" i="16"/>
  <c r="N65" i="16"/>
  <c r="N64" i="16"/>
  <c r="I40" i="16"/>
  <c r="I65" i="16" s="1"/>
  <c r="I64" i="16"/>
  <c r="J17" i="10"/>
  <c r="J15" i="10" s="1"/>
  <c r="P3" i="16" l="1"/>
  <c r="O43" i="16"/>
  <c r="J33" i="10"/>
  <c r="J29" i="10"/>
  <c r="J32" i="10"/>
  <c r="J31" i="10"/>
  <c r="K17" i="10"/>
  <c r="K15" i="10" s="1"/>
  <c r="G17" i="10"/>
  <c r="G15" i="10" s="1"/>
  <c r="F3" i="10"/>
  <c r="G3" i="10" s="1"/>
  <c r="H3" i="10" s="1"/>
  <c r="I3" i="10" s="1"/>
  <c r="J3" i="10" s="1"/>
  <c r="K3" i="10" s="1"/>
  <c r="L3" i="10" s="1"/>
  <c r="M3" i="10" s="1"/>
  <c r="N3" i="10" s="1"/>
  <c r="O3" i="10" s="1"/>
  <c r="P3" i="10" s="1"/>
  <c r="Q3" i="10" s="1"/>
  <c r="R3" i="10" s="1"/>
  <c r="S3" i="10" s="1"/>
  <c r="T3" i="10" s="1"/>
  <c r="U3" i="10" s="1"/>
  <c r="V3" i="10" s="1"/>
  <c r="W3" i="10" s="1"/>
  <c r="X3" i="10" s="1"/>
  <c r="Y3" i="10" s="1"/>
  <c r="Q3" i="16" l="1"/>
  <c r="P43" i="16"/>
  <c r="G29" i="10"/>
  <c r="G33" i="10"/>
  <c r="G32" i="10"/>
  <c r="G31" i="10"/>
  <c r="K29" i="10"/>
  <c r="K33" i="10"/>
  <c r="K31" i="10"/>
  <c r="K32" i="10"/>
  <c r="H26" i="10"/>
  <c r="I26" i="10"/>
  <c r="E26" i="10"/>
  <c r="M26" i="10"/>
  <c r="L26" i="10"/>
  <c r="G26" i="10"/>
  <c r="K26" i="10"/>
  <c r="F26" i="10"/>
  <c r="N17" i="10"/>
  <c r="N15" i="10" s="1"/>
  <c r="J26" i="10"/>
  <c r="N26" i="10"/>
  <c r="F17" i="10"/>
  <c r="F15" i="10" s="1"/>
  <c r="H17" i="10"/>
  <c r="H15" i="10" s="1"/>
  <c r="L17" i="10"/>
  <c r="L15" i="10" s="1"/>
  <c r="M17" i="10"/>
  <c r="M15" i="10" s="1"/>
  <c r="Q9" i="17" l="1"/>
  <c r="R3" i="16"/>
  <c r="Q43" i="16"/>
  <c r="F30" i="10"/>
  <c r="F17" i="19"/>
  <c r="N33" i="10"/>
  <c r="N32" i="10"/>
  <c r="N29" i="10"/>
  <c r="N31" i="10"/>
  <c r="F33" i="10"/>
  <c r="F32" i="10"/>
  <c r="F31" i="10"/>
  <c r="F29" i="10"/>
  <c r="H31" i="10"/>
  <c r="H29" i="10"/>
  <c r="H33" i="10"/>
  <c r="H32" i="10"/>
  <c r="M32" i="10"/>
  <c r="M33" i="10"/>
  <c r="M31" i="10"/>
  <c r="M29" i="10"/>
  <c r="L31" i="10"/>
  <c r="L32" i="10"/>
  <c r="L29" i="10"/>
  <c r="L33" i="10"/>
  <c r="AA26" i="10"/>
  <c r="AA17" i="10"/>
  <c r="S3" i="16" l="1"/>
  <c r="R43" i="16"/>
  <c r="E16" i="19"/>
  <c r="E9" i="19"/>
  <c r="E13" i="19"/>
  <c r="E11" i="19"/>
  <c r="E8" i="19"/>
  <c r="E12" i="19"/>
  <c r="E14" i="19"/>
  <c r="E36" i="19" s="1"/>
  <c r="E10" i="19"/>
  <c r="G17" i="19"/>
  <c r="H17" i="19" s="1"/>
  <c r="F11" i="19"/>
  <c r="F16" i="19"/>
  <c r="F15" i="19" s="1"/>
  <c r="F14" i="19"/>
  <c r="F36" i="19" s="1"/>
  <c r="F12" i="19"/>
  <c r="F8" i="19"/>
  <c r="F13" i="19"/>
  <c r="F10" i="19"/>
  <c r="F9" i="19"/>
  <c r="F29" i="19"/>
  <c r="F31" i="19"/>
  <c r="F33" i="19"/>
  <c r="F32" i="19"/>
  <c r="F30" i="19"/>
  <c r="G30" i="10"/>
  <c r="E37" i="10"/>
  <c r="E39" i="10" s="1"/>
  <c r="F37" i="10"/>
  <c r="F39" i="10" s="1"/>
  <c r="T3" i="16" l="1"/>
  <c r="S43" i="16"/>
  <c r="E15" i="19"/>
  <c r="F34" i="19"/>
  <c r="F37" i="19" s="1"/>
  <c r="F26" i="19"/>
  <c r="I17" i="19"/>
  <c r="H16" i="19"/>
  <c r="H12" i="19"/>
  <c r="H31" i="19"/>
  <c r="H13" i="19"/>
  <c r="H11" i="19"/>
  <c r="H29" i="19"/>
  <c r="H8" i="19"/>
  <c r="H14" i="19"/>
  <c r="H36" i="19" s="1"/>
  <c r="H32" i="19"/>
  <c r="H9" i="19"/>
  <c r="H10" i="19"/>
  <c r="H33" i="19"/>
  <c r="H15" i="19"/>
  <c r="G8" i="19"/>
  <c r="G14" i="19"/>
  <c r="G36" i="19" s="1"/>
  <c r="G33" i="19"/>
  <c r="G11" i="19"/>
  <c r="G9" i="19"/>
  <c r="G32" i="19"/>
  <c r="G10" i="19"/>
  <c r="G31" i="19"/>
  <c r="G12" i="19"/>
  <c r="G16" i="19"/>
  <c r="G15" i="19" s="1"/>
  <c r="G29" i="19"/>
  <c r="G13" i="19"/>
  <c r="G30" i="19"/>
  <c r="H30" i="19" s="1"/>
  <c r="E34" i="19"/>
  <c r="E37" i="19" s="1"/>
  <c r="E26" i="19"/>
  <c r="H30" i="10"/>
  <c r="G37" i="10"/>
  <c r="G39" i="10" s="1"/>
  <c r="U3" i="16" l="1"/>
  <c r="T43" i="16"/>
  <c r="E39" i="19"/>
  <c r="E65" i="19" s="1"/>
  <c r="E66" i="19" s="1"/>
  <c r="F39" i="19"/>
  <c r="F65" i="19" s="1"/>
  <c r="F66" i="19" s="1"/>
  <c r="H34" i="19"/>
  <c r="H37" i="19" s="1"/>
  <c r="H26" i="19"/>
  <c r="G26" i="19"/>
  <c r="G34" i="19"/>
  <c r="G37" i="19" s="1"/>
  <c r="J17" i="19"/>
  <c r="I29" i="19"/>
  <c r="I31" i="19"/>
  <c r="I33" i="19"/>
  <c r="I32" i="19"/>
  <c r="I16" i="19"/>
  <c r="I15" i="19" s="1"/>
  <c r="I11" i="19"/>
  <c r="I9" i="19"/>
  <c r="I12" i="19"/>
  <c r="I8" i="19"/>
  <c r="I10" i="19"/>
  <c r="I13" i="19"/>
  <c r="I14" i="19"/>
  <c r="I36" i="19" s="1"/>
  <c r="I30" i="19"/>
  <c r="H37" i="10"/>
  <c r="H39" i="10" s="1"/>
  <c r="I30" i="10"/>
  <c r="I37" i="10" s="1"/>
  <c r="I39" i="10" s="1"/>
  <c r="V3" i="16" l="1"/>
  <c r="U43" i="16"/>
  <c r="H39" i="19"/>
  <c r="H65" i="19" s="1"/>
  <c r="H66" i="19" s="1"/>
  <c r="I34" i="19"/>
  <c r="I37" i="19" s="1"/>
  <c r="I26" i="19"/>
  <c r="G39" i="19"/>
  <c r="G65" i="19" s="1"/>
  <c r="G66" i="19" s="1"/>
  <c r="J29" i="19"/>
  <c r="J31" i="19"/>
  <c r="J32" i="19"/>
  <c r="J14" i="19"/>
  <c r="J36" i="19" s="1"/>
  <c r="J16" i="19"/>
  <c r="J12" i="19"/>
  <c r="J9" i="19"/>
  <c r="J10" i="19"/>
  <c r="J33" i="19"/>
  <c r="J8" i="19"/>
  <c r="J11" i="19"/>
  <c r="J13" i="19"/>
  <c r="J30" i="19"/>
  <c r="K17" i="19"/>
  <c r="J30" i="10"/>
  <c r="W3" i="16" l="1"/>
  <c r="V43" i="16"/>
  <c r="V46" i="16" s="1"/>
  <c r="V50" i="16" s="1"/>
  <c r="V59" i="16" s="1"/>
  <c r="J37" i="10"/>
  <c r="J39" i="10" s="1"/>
  <c r="I39" i="19"/>
  <c r="I65" i="19" s="1"/>
  <c r="I66" i="19" s="1"/>
  <c r="K32" i="19"/>
  <c r="K31" i="19"/>
  <c r="K29" i="19"/>
  <c r="K16" i="19"/>
  <c r="K15" i="19" s="1"/>
  <c r="K14" i="19"/>
  <c r="K36" i="19" s="1"/>
  <c r="K10" i="19"/>
  <c r="K8" i="19"/>
  <c r="K9" i="19"/>
  <c r="K11" i="19"/>
  <c r="K13" i="19"/>
  <c r="K33" i="19"/>
  <c r="K12" i="19"/>
  <c r="K30" i="19"/>
  <c r="L17" i="19"/>
  <c r="J34" i="19"/>
  <c r="J37" i="19" s="1"/>
  <c r="J26" i="19"/>
  <c r="J15" i="19"/>
  <c r="K30" i="10"/>
  <c r="U46" i="16"/>
  <c r="U50" i="16" s="1"/>
  <c r="U59" i="16" s="1"/>
  <c r="Q46" i="16"/>
  <c r="Q50" i="16" s="1"/>
  <c r="Q59" i="16" s="1"/>
  <c r="M46" i="16"/>
  <c r="M50" i="16" s="1"/>
  <c r="I46" i="16"/>
  <c r="I50" i="16" s="1"/>
  <c r="E46" i="16"/>
  <c r="E50" i="16" s="1"/>
  <c r="E59" i="16" s="1"/>
  <c r="E60" i="16" s="1"/>
  <c r="T46" i="16"/>
  <c r="T50" i="16" s="1"/>
  <c r="T59" i="16" s="1"/>
  <c r="P46" i="16"/>
  <c r="P50" i="16" s="1"/>
  <c r="P59" i="16" s="1"/>
  <c r="L46" i="16"/>
  <c r="L50" i="16" s="1"/>
  <c r="H46" i="16"/>
  <c r="H50" i="16" s="1"/>
  <c r="S46" i="16"/>
  <c r="S50" i="16" s="1"/>
  <c r="S59" i="16" s="1"/>
  <c r="O46" i="16"/>
  <c r="O50" i="16" s="1"/>
  <c r="O59" i="16" s="1"/>
  <c r="K46" i="16"/>
  <c r="K50" i="16" s="1"/>
  <c r="G46" i="16"/>
  <c r="G50" i="16" s="1"/>
  <c r="R46" i="16"/>
  <c r="R50" i="16" s="1"/>
  <c r="R59" i="16" s="1"/>
  <c r="N46" i="16"/>
  <c r="N50" i="16" s="1"/>
  <c r="J46" i="16"/>
  <c r="J50" i="16" s="1"/>
  <c r="F46" i="16"/>
  <c r="F50" i="16" s="1"/>
  <c r="P61" i="10"/>
  <c r="T61" i="10"/>
  <c r="X61" i="10"/>
  <c r="V61" i="10"/>
  <c r="Q61" i="10"/>
  <c r="U61" i="10"/>
  <c r="R61" i="10"/>
  <c r="O61" i="10"/>
  <c r="S61" i="10"/>
  <c r="W61" i="10"/>
  <c r="K61" i="10"/>
  <c r="G61" i="10"/>
  <c r="G65" i="10" s="1"/>
  <c r="G66" i="10" s="1"/>
  <c r="N61" i="10"/>
  <c r="J61" i="10"/>
  <c r="F61" i="10"/>
  <c r="F65" i="10" s="1"/>
  <c r="F66" i="10" s="1"/>
  <c r="M61" i="10"/>
  <c r="I61" i="10"/>
  <c r="I65" i="10" s="1"/>
  <c r="I66" i="10" s="1"/>
  <c r="E61" i="10"/>
  <c r="E65" i="10" s="1"/>
  <c r="E66" i="10" s="1"/>
  <c r="L61" i="10"/>
  <c r="H65" i="10"/>
  <c r="H66" i="10" s="1"/>
  <c r="F59" i="16" l="1"/>
  <c r="F60" i="16" s="1"/>
  <c r="G59" i="16"/>
  <c r="G60" i="16" s="1"/>
  <c r="H59" i="16"/>
  <c r="H60" i="16" s="1"/>
  <c r="J59" i="16"/>
  <c r="J60" i="16" s="1"/>
  <c r="K59" i="16"/>
  <c r="K60" i="16" s="1"/>
  <c r="L59" i="16"/>
  <c r="L60" i="16" s="1"/>
  <c r="I59" i="16"/>
  <c r="I60" i="16" s="1"/>
  <c r="N59" i="16"/>
  <c r="N60" i="16" s="1"/>
  <c r="M59" i="16"/>
  <c r="M60" i="16" s="1"/>
  <c r="X3" i="16"/>
  <c r="X43" i="16" s="1"/>
  <c r="X46" i="16" s="1"/>
  <c r="X50" i="16" s="1"/>
  <c r="X59" i="16" s="1"/>
  <c r="W43" i="16"/>
  <c r="W46" i="16" s="1"/>
  <c r="W50" i="16" s="1"/>
  <c r="W59" i="16" s="1"/>
  <c r="J39" i="19"/>
  <c r="J65" i="19" s="1"/>
  <c r="J66" i="19" s="1"/>
  <c r="M17" i="19"/>
  <c r="L8" i="19"/>
  <c r="L11" i="19"/>
  <c r="L31" i="19"/>
  <c r="L14" i="19"/>
  <c r="L36" i="19" s="1"/>
  <c r="L13" i="19"/>
  <c r="L32" i="19"/>
  <c r="L16" i="19"/>
  <c r="L15" i="19" s="1"/>
  <c r="L12" i="19"/>
  <c r="L9" i="19"/>
  <c r="L33" i="19"/>
  <c r="L10" i="19"/>
  <c r="L29" i="19"/>
  <c r="L30" i="19"/>
  <c r="K34" i="19"/>
  <c r="K37" i="19" s="1"/>
  <c r="K26" i="19"/>
  <c r="K37" i="10"/>
  <c r="K39" i="10" s="1"/>
  <c r="K65" i="10" s="1"/>
  <c r="K66" i="10" s="1"/>
  <c r="L30" i="10"/>
  <c r="J65" i="10"/>
  <c r="J66" i="10" s="1"/>
  <c r="AA58" i="16" l="1"/>
  <c r="AA59" i="16" s="1"/>
  <c r="AC59" i="16"/>
  <c r="D20" i="17" s="1"/>
  <c r="K39" i="19"/>
  <c r="K65" i="19" s="1"/>
  <c r="K66" i="19" s="1"/>
  <c r="M29" i="19"/>
  <c r="M33" i="19"/>
  <c r="M32" i="19"/>
  <c r="M9" i="19"/>
  <c r="M8" i="19"/>
  <c r="M12" i="19"/>
  <c r="M10" i="19"/>
  <c r="M13" i="19"/>
  <c r="M31" i="19"/>
  <c r="M14" i="19"/>
  <c r="M36" i="19" s="1"/>
  <c r="M11" i="19"/>
  <c r="M16" i="19"/>
  <c r="M15" i="19" s="1"/>
  <c r="M30" i="19"/>
  <c r="N17" i="19"/>
  <c r="L26" i="19"/>
  <c r="L34" i="19"/>
  <c r="L37" i="19" s="1"/>
  <c r="M30" i="10"/>
  <c r="L37" i="10"/>
  <c r="L39" i="10" s="1"/>
  <c r="L65" i="10" s="1"/>
  <c r="L66" i="10" s="1"/>
  <c r="D21" i="17" l="1"/>
  <c r="AC60" i="16"/>
  <c r="G21" i="17" s="1"/>
  <c r="D23" i="17"/>
  <c r="G24" i="17"/>
  <c r="D22" i="17"/>
  <c r="L39" i="19"/>
  <c r="L65" i="19" s="1"/>
  <c r="L66" i="19" s="1"/>
  <c r="O17" i="19"/>
  <c r="N29" i="19"/>
  <c r="N32" i="19"/>
  <c r="N10" i="19"/>
  <c r="N9" i="19"/>
  <c r="N31" i="19"/>
  <c r="N16" i="19"/>
  <c r="N15" i="19" s="1"/>
  <c r="N14" i="19"/>
  <c r="N36" i="19" s="1"/>
  <c r="N12" i="19"/>
  <c r="N8" i="19"/>
  <c r="N13" i="19"/>
  <c r="N11" i="19"/>
  <c r="N33" i="19"/>
  <c r="N30" i="19"/>
  <c r="M34" i="19"/>
  <c r="M37" i="19" s="1"/>
  <c r="M26" i="19"/>
  <c r="N30" i="10"/>
  <c r="M37" i="10"/>
  <c r="M39" i="10" s="1"/>
  <c r="M65" i="10" s="1"/>
  <c r="M66" i="10" s="1"/>
  <c r="M39" i="19" l="1"/>
  <c r="M65" i="19" s="1"/>
  <c r="M66" i="19" s="1"/>
  <c r="N26" i="19"/>
  <c r="N34" i="19"/>
  <c r="N37" i="19" s="1"/>
  <c r="O31" i="19"/>
  <c r="O29" i="19"/>
  <c r="O33" i="19"/>
  <c r="O32" i="19"/>
  <c r="O8" i="19"/>
  <c r="O14" i="19"/>
  <c r="O36" i="19" s="1"/>
  <c r="O12" i="19"/>
  <c r="O16" i="19"/>
  <c r="O15" i="19" s="1"/>
  <c r="O11" i="19"/>
  <c r="O9" i="19"/>
  <c r="O13" i="19"/>
  <c r="O10" i="19"/>
  <c r="O30" i="19"/>
  <c r="P17" i="19"/>
  <c r="N37" i="10"/>
  <c r="N39" i="10" s="1"/>
  <c r="N65" i="10" s="1"/>
  <c r="N66" i="10" s="1"/>
  <c r="O30" i="10"/>
  <c r="N39" i="19" l="1"/>
  <c r="N65" i="19" s="1"/>
  <c r="N66" i="19" s="1"/>
  <c r="P33" i="19"/>
  <c r="P29" i="19"/>
  <c r="P32" i="19"/>
  <c r="P31" i="19"/>
  <c r="P16" i="19"/>
  <c r="P15" i="19" s="1"/>
  <c r="P12" i="19"/>
  <c r="P10" i="19"/>
  <c r="P9" i="19"/>
  <c r="P13" i="19"/>
  <c r="P11" i="19"/>
  <c r="P8" i="19"/>
  <c r="P14" i="19"/>
  <c r="P36" i="19" s="1"/>
  <c r="P30" i="19"/>
  <c r="Q17" i="19"/>
  <c r="O34" i="19"/>
  <c r="O37" i="19" s="1"/>
  <c r="O26" i="19"/>
  <c r="P30" i="10"/>
  <c r="O37" i="10"/>
  <c r="O39" i="10" s="1"/>
  <c r="O65" i="10" s="1"/>
  <c r="O66" i="10" s="1"/>
  <c r="O39" i="19" l="1"/>
  <c r="O65" i="19" s="1"/>
  <c r="O66" i="19" s="1"/>
  <c r="P26" i="19"/>
  <c r="P34" i="19"/>
  <c r="P37" i="19" s="1"/>
  <c r="Q32" i="19"/>
  <c r="Q29" i="19"/>
  <c r="Q31" i="19"/>
  <c r="Q9" i="19"/>
  <c r="Q12" i="19"/>
  <c r="Q10" i="19"/>
  <c r="Q13" i="19"/>
  <c r="Q14" i="19"/>
  <c r="Q36" i="19" s="1"/>
  <c r="Q8" i="19"/>
  <c r="Q16" i="19"/>
  <c r="Q15" i="19" s="1"/>
  <c r="Q11" i="19"/>
  <c r="Q33" i="19"/>
  <c r="Q30" i="19"/>
  <c r="R17" i="19"/>
  <c r="Q30" i="10"/>
  <c r="P37" i="10"/>
  <c r="P39" i="10" s="1"/>
  <c r="P65" i="10" s="1"/>
  <c r="P66" i="10" s="1"/>
  <c r="P39" i="19" l="1"/>
  <c r="P65" i="19" s="1"/>
  <c r="P66" i="19" s="1"/>
  <c r="R29" i="19"/>
  <c r="R31" i="19"/>
  <c r="R33" i="19"/>
  <c r="R32" i="19"/>
  <c r="R14" i="19"/>
  <c r="R36" i="19" s="1"/>
  <c r="R16" i="19"/>
  <c r="R15" i="19" s="1"/>
  <c r="R12" i="19"/>
  <c r="R9" i="19"/>
  <c r="R11" i="19"/>
  <c r="R13" i="19"/>
  <c r="R10" i="19"/>
  <c r="R8" i="19"/>
  <c r="S17" i="19"/>
  <c r="R30" i="19"/>
  <c r="Q26" i="19"/>
  <c r="Q34" i="19"/>
  <c r="Q37" i="19" s="1"/>
  <c r="R30" i="10"/>
  <c r="S30" i="10" s="1"/>
  <c r="S37" i="10" s="1"/>
  <c r="S39" i="10" s="1"/>
  <c r="S65" i="10" s="1"/>
  <c r="S66" i="10" s="1"/>
  <c r="Q37" i="10"/>
  <c r="Q39" i="10" s="1"/>
  <c r="Q65" i="10" s="1"/>
  <c r="Q66" i="10" s="1"/>
  <c r="Q39" i="19" l="1"/>
  <c r="Q65" i="19" s="1"/>
  <c r="Q66" i="19" s="1"/>
  <c r="R34" i="19"/>
  <c r="R37" i="19" s="1"/>
  <c r="R26" i="19"/>
  <c r="T17" i="19"/>
  <c r="S33" i="19"/>
  <c r="S29" i="19"/>
  <c r="S8" i="19"/>
  <c r="S9" i="19"/>
  <c r="S32" i="19"/>
  <c r="S12" i="19"/>
  <c r="S10" i="19"/>
  <c r="S31" i="19"/>
  <c r="S11" i="19"/>
  <c r="S13" i="19"/>
  <c r="S16" i="19"/>
  <c r="S15" i="19" s="1"/>
  <c r="S14" i="19"/>
  <c r="S36" i="19" s="1"/>
  <c r="S30" i="19"/>
  <c r="T30" i="10"/>
  <c r="R37" i="10"/>
  <c r="R39" i="10" s="1"/>
  <c r="R65" i="10" s="1"/>
  <c r="R66" i="10" s="1"/>
  <c r="R39" i="19" l="1"/>
  <c r="R65" i="19" s="1"/>
  <c r="R66" i="19" s="1"/>
  <c r="U17" i="19"/>
  <c r="T31" i="19"/>
  <c r="T33" i="19"/>
  <c r="T29" i="19"/>
  <c r="T32" i="19"/>
  <c r="T16" i="19"/>
  <c r="T15" i="19" s="1"/>
  <c r="T12" i="19"/>
  <c r="T9" i="19"/>
  <c r="T14" i="19"/>
  <c r="T36" i="19" s="1"/>
  <c r="T13" i="19"/>
  <c r="T8" i="19"/>
  <c r="T11" i="19"/>
  <c r="T10" i="19"/>
  <c r="T30" i="19"/>
  <c r="S34" i="19"/>
  <c r="S37" i="19" s="1"/>
  <c r="S26" i="19"/>
  <c r="U30" i="10"/>
  <c r="T37" i="10"/>
  <c r="T39" i="10" s="1"/>
  <c r="T65" i="10" s="1"/>
  <c r="T66" i="10" s="1"/>
  <c r="S39" i="19" l="1"/>
  <c r="S65" i="19" s="1"/>
  <c r="S66" i="19" s="1"/>
  <c r="T34" i="19"/>
  <c r="T37" i="19" s="1"/>
  <c r="T26" i="19"/>
  <c r="U32" i="19"/>
  <c r="U14" i="19"/>
  <c r="U36" i="19" s="1"/>
  <c r="U11" i="19"/>
  <c r="U13" i="19"/>
  <c r="U33" i="19"/>
  <c r="U29" i="19"/>
  <c r="U16" i="19"/>
  <c r="U15" i="19" s="1"/>
  <c r="U12" i="19"/>
  <c r="U31" i="19"/>
  <c r="U9" i="19"/>
  <c r="U8" i="19"/>
  <c r="U10" i="19"/>
  <c r="U30" i="19"/>
  <c r="V17" i="19"/>
  <c r="V30" i="10"/>
  <c r="W30" i="10" s="1"/>
  <c r="X30" i="10" s="1"/>
  <c r="X37" i="10" s="1"/>
  <c r="X39" i="10" s="1"/>
  <c r="X65" i="10" s="1"/>
  <c r="X66" i="10" s="1"/>
  <c r="U37" i="10"/>
  <c r="U39" i="10" s="1"/>
  <c r="U65" i="10" s="1"/>
  <c r="U66" i="10" s="1"/>
  <c r="W37" i="10" l="1"/>
  <c r="W39" i="10" s="1"/>
  <c r="W65" i="10" s="1"/>
  <c r="W66" i="10" s="1"/>
  <c r="T39" i="19"/>
  <c r="T65" i="19" s="1"/>
  <c r="T66" i="19" s="1"/>
  <c r="U34" i="19"/>
  <c r="U37" i="19" s="1"/>
  <c r="U26" i="19"/>
  <c r="W17" i="19"/>
  <c r="V29" i="19"/>
  <c r="V31" i="19"/>
  <c r="V32" i="19"/>
  <c r="V33" i="19"/>
  <c r="V11" i="19"/>
  <c r="V13" i="19"/>
  <c r="V10" i="19"/>
  <c r="V16" i="19"/>
  <c r="V15" i="19" s="1"/>
  <c r="V12" i="19"/>
  <c r="V14" i="19"/>
  <c r="V36" i="19" s="1"/>
  <c r="V9" i="19"/>
  <c r="V8" i="19"/>
  <c r="V30" i="19"/>
  <c r="Y30" i="10"/>
  <c r="Y37" i="10" s="1"/>
  <c r="Y39" i="10" s="1"/>
  <c r="V37" i="10"/>
  <c r="V39" i="10" s="1"/>
  <c r="V65" i="10" s="1"/>
  <c r="V66" i="10" s="1"/>
  <c r="M11" i="17" l="1"/>
  <c r="U39" i="19"/>
  <c r="U65" i="19" s="1"/>
  <c r="U66" i="19" s="1"/>
  <c r="V26" i="19"/>
  <c r="V34" i="19"/>
  <c r="V37" i="19" s="1"/>
  <c r="X17" i="19"/>
  <c r="W31" i="19"/>
  <c r="W29" i="19"/>
  <c r="W13" i="19"/>
  <c r="W10" i="19"/>
  <c r="W8" i="19"/>
  <c r="W14" i="19"/>
  <c r="W36" i="19" s="1"/>
  <c r="W32" i="19"/>
  <c r="W9" i="19"/>
  <c r="W12" i="19"/>
  <c r="W16" i="19"/>
  <c r="W15" i="19" s="1"/>
  <c r="W30" i="19"/>
  <c r="W11" i="19"/>
  <c r="W33" i="19"/>
  <c r="AA37" i="10"/>
  <c r="Y65" i="10"/>
  <c r="Y66" i="10" s="1"/>
  <c r="AA66" i="10" s="1"/>
  <c r="AA39" i="10"/>
  <c r="M13" i="17" s="1"/>
  <c r="AB66" i="10" l="1"/>
  <c r="Q13" i="17"/>
  <c r="X29" i="19"/>
  <c r="X13" i="19"/>
  <c r="X11" i="19"/>
  <c r="X32" i="19"/>
  <c r="X8" i="19"/>
  <c r="X14" i="19"/>
  <c r="X36" i="19" s="1"/>
  <c r="X33" i="19"/>
  <c r="X16" i="19"/>
  <c r="X15" i="19" s="1"/>
  <c r="X12" i="19"/>
  <c r="X30" i="19"/>
  <c r="X9" i="19"/>
  <c r="X10" i="19"/>
  <c r="X31" i="19"/>
  <c r="Y17" i="19"/>
  <c r="W34" i="19"/>
  <c r="W37" i="19" s="1"/>
  <c r="W26" i="19"/>
  <c r="V39" i="19"/>
  <c r="V65" i="19" s="1"/>
  <c r="V66" i="19" s="1"/>
  <c r="AA17" i="19" l="1"/>
  <c r="Y8" i="19"/>
  <c r="W39" i="19"/>
  <c r="W65" i="19" s="1"/>
  <c r="W66" i="19" s="1"/>
  <c r="Y13" i="19"/>
  <c r="Y14" i="19"/>
  <c r="Y16" i="19"/>
  <c r="AA16" i="19" s="1"/>
  <c r="Y11" i="19"/>
  <c r="Y10" i="19"/>
  <c r="Y9" i="19"/>
  <c r="Y12" i="19"/>
  <c r="X34" i="19"/>
  <c r="X37" i="19" s="1"/>
  <c r="X26" i="19"/>
  <c r="X39" i="19" l="1"/>
  <c r="X65" i="19" s="1"/>
  <c r="X66" i="19" s="1"/>
  <c r="Y15" i="19"/>
  <c r="Y34" i="19" l="1"/>
  <c r="AA8" i="19"/>
  <c r="Y36" i="19"/>
  <c r="AA14" i="19"/>
  <c r="AA12" i="19"/>
  <c r="AA10" i="19"/>
  <c r="AA13" i="19"/>
  <c r="AA11" i="19"/>
  <c r="AA9" i="19"/>
  <c r="Y26" i="19"/>
  <c r="AA26" i="19" s="1"/>
  <c r="Y33" i="19" l="1"/>
  <c r="Y31" i="19"/>
  <c r="Y32" i="19"/>
  <c r="Y29" i="19"/>
  <c r="Y30" i="19"/>
  <c r="Y37" i="19" l="1"/>
  <c r="Y39" i="19" s="1"/>
  <c r="AA37" i="19" l="1"/>
  <c r="AA39" i="19"/>
  <c r="Y65" i="19"/>
  <c r="Y66" i="19" s="1"/>
  <c r="AA66" i="19" l="1"/>
  <c r="AB66" i="19" l="1"/>
  <c r="AD13" i="17"/>
</calcChain>
</file>

<file path=xl/comments1.xml><?xml version="1.0" encoding="utf-8"?>
<comments xmlns="http://schemas.openxmlformats.org/spreadsheetml/2006/main">
  <authors>
    <author>Author</author>
  </authors>
  <commentList>
    <comment ref="N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derived from YT Gen modelling</t>
        </r>
      </text>
    </comment>
    <comment ref="J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currently not used</t>
        </r>
      </text>
    </comment>
    <comment ref="L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Currently not used</t>
        </r>
      </text>
    </comment>
  </commentList>
</comments>
</file>

<file path=xl/sharedStrings.xml><?xml version="1.0" encoding="utf-8"?>
<sst xmlns="http://schemas.openxmlformats.org/spreadsheetml/2006/main" count="550" uniqueCount="189">
  <si>
    <t>CASH FLOW</t>
  </si>
  <si>
    <t>Pruned</t>
  </si>
  <si>
    <t>A</t>
  </si>
  <si>
    <t>K</t>
  </si>
  <si>
    <t>KI</t>
  </si>
  <si>
    <t>KIS</t>
  </si>
  <si>
    <t>PULP</t>
  </si>
  <si>
    <t>Log &amp; Load cost</t>
  </si>
  <si>
    <t xml:space="preserve">Roading cost </t>
  </si>
  <si>
    <t>Harvest management cost</t>
  </si>
  <si>
    <t>Post harvest costs</t>
  </si>
  <si>
    <t>Cartage</t>
  </si>
  <si>
    <t>Attrition (%)</t>
  </si>
  <si>
    <t>Stumpage Revenue ($)</t>
  </si>
  <si>
    <t>Area (ha)</t>
  </si>
  <si>
    <t>Net Stocked Area</t>
  </si>
  <si>
    <t>Area harvested</t>
  </si>
  <si>
    <t>Freehold NSA</t>
  </si>
  <si>
    <t>Freehold harvest</t>
  </si>
  <si>
    <t>Forest Costs ($)</t>
  </si>
  <si>
    <t>Dothi Spray 1</t>
  </si>
  <si>
    <t>First Prune</t>
  </si>
  <si>
    <t>Second Prune</t>
  </si>
  <si>
    <t>Waste Thin</t>
  </si>
  <si>
    <t>Dothi Spray 2</t>
  </si>
  <si>
    <t>MRI</t>
  </si>
  <si>
    <t>PHI</t>
  </si>
  <si>
    <t>Total Forest Costs ($)</t>
  </si>
  <si>
    <t>Annual Costs ($)</t>
  </si>
  <si>
    <t>Annual costs</t>
  </si>
  <si>
    <t>Rates</t>
  </si>
  <si>
    <t>Land rent (notional)</t>
  </si>
  <si>
    <t>Total Costs ($)</t>
  </si>
  <si>
    <t>Item</t>
  </si>
  <si>
    <t>Unit</t>
  </si>
  <si>
    <t>$/ha</t>
  </si>
  <si>
    <t>Admin</t>
  </si>
  <si>
    <t>$/ha/yr</t>
  </si>
  <si>
    <t>Maintenance</t>
  </si>
  <si>
    <t>Management</t>
  </si>
  <si>
    <t>Insurance</t>
  </si>
  <si>
    <t>Total:</t>
  </si>
  <si>
    <t>Harvest costs</t>
  </si>
  <si>
    <t>Hauler cost</t>
  </si>
  <si>
    <t>$/m3</t>
  </si>
  <si>
    <t>Ground based cost</t>
  </si>
  <si>
    <t>Harvest mgmt cost</t>
  </si>
  <si>
    <t>Post-harvest costs</t>
  </si>
  <si>
    <t>Cartage b</t>
  </si>
  <si>
    <t>Roading</t>
  </si>
  <si>
    <t>Total formation cost</t>
  </si>
  <si>
    <t>Pulp</t>
  </si>
  <si>
    <t>AO</t>
  </si>
  <si>
    <t>Log prices</t>
  </si>
  <si>
    <t>Others</t>
  </si>
  <si>
    <t>Attrition</t>
  </si>
  <si>
    <t>Harvest Volume (m3/ha)</t>
  </si>
  <si>
    <t>Log prices ($/m3)</t>
  </si>
  <si>
    <t>Total Clearfell Revenue ($/ha)</t>
  </si>
  <si>
    <t>Total Volume (m3/ha)</t>
  </si>
  <si>
    <t>Production Costs ($/ha)</t>
  </si>
  <si>
    <t>Roading Maintenance</t>
  </si>
  <si>
    <t>Cartage distance (kms)</t>
  </si>
  <si>
    <t>Species</t>
  </si>
  <si>
    <t>Regime</t>
  </si>
  <si>
    <t>NSA (ha)</t>
  </si>
  <si>
    <t>% Hauler</t>
  </si>
  <si>
    <t>Export</t>
  </si>
  <si>
    <t>Domestic</t>
  </si>
  <si>
    <t>Forest</t>
  </si>
  <si>
    <t>Total Land Occupancy Costs ($/ha)</t>
  </si>
  <si>
    <t>Total Production Costs ($/ha)</t>
  </si>
  <si>
    <t>Net Cash Flow Pre-tax ($/ha)</t>
  </si>
  <si>
    <t>Discounted Net Cash Flow ($/ha)</t>
  </si>
  <si>
    <t>TRV</t>
  </si>
  <si>
    <t>Cpt.</t>
  </si>
  <si>
    <t>Prad</t>
  </si>
  <si>
    <t>Target DBH (cm)</t>
  </si>
  <si>
    <t>index</t>
  </si>
  <si>
    <t>Log grade</t>
  </si>
  <si>
    <t>Harvest interval</t>
  </si>
  <si>
    <t>Harvest Interval (yr)</t>
  </si>
  <si>
    <t>Stand</t>
  </si>
  <si>
    <t>CW</t>
  </si>
  <si>
    <t>Piece Size</t>
  </si>
  <si>
    <t>Stem/ha</t>
  </si>
  <si>
    <t>Total</t>
  </si>
  <si>
    <t>Yes</t>
  </si>
  <si>
    <t>No</t>
  </si>
  <si>
    <t>clearfell</t>
  </si>
  <si>
    <t>Current stocking:</t>
  </si>
  <si>
    <t>Residuals</t>
  </si>
  <si>
    <t>residuals</t>
  </si>
  <si>
    <t>Harvest residual trees?</t>
  </si>
  <si>
    <t>All</t>
  </si>
  <si>
    <t>Max NPV</t>
  </si>
  <si>
    <t>Cartage a (constant)</t>
  </si>
  <si>
    <t>Coversion Factor (m3/t)</t>
  </si>
  <si>
    <t>TDH</t>
  </si>
  <si>
    <t>Clearfell</t>
  </si>
  <si>
    <t>NPV ($/ha)</t>
  </si>
  <si>
    <t>Net Present Value ($/ha)</t>
  </si>
  <si>
    <t>Residual trees</t>
  </si>
  <si>
    <t>Age:</t>
  </si>
  <si>
    <t>At age</t>
  </si>
  <si>
    <t>Harvest system</t>
  </si>
  <si>
    <t>Residual trees:</t>
  </si>
  <si>
    <t>Total production:</t>
  </si>
  <si>
    <t>Mean Vol increment:</t>
  </si>
  <si>
    <t>cm</t>
  </si>
  <si>
    <t>Current mean DBH:</t>
  </si>
  <si>
    <t>cm/year</t>
  </si>
  <si>
    <t>Current volume:</t>
  </si>
  <si>
    <t>Current piece size:</t>
  </si>
  <si>
    <t>stem/ha</t>
  </si>
  <si>
    <t>Harvest residual trees:</t>
  </si>
  <si>
    <t>Harvest interval:</t>
  </si>
  <si>
    <t>Species:</t>
  </si>
  <si>
    <t>Target Diameter:</t>
  </si>
  <si>
    <t>Area:</t>
  </si>
  <si>
    <t>TDH Results</t>
  </si>
  <si>
    <t>Stand inputs</t>
  </si>
  <si>
    <t>ha</t>
  </si>
  <si>
    <t>Mean DBH increment:</t>
  </si>
  <si>
    <t>TDH stocking:</t>
  </si>
  <si>
    <t>TDH production:</t>
  </si>
  <si>
    <t>Residuals:</t>
  </si>
  <si>
    <t>Residual stocking:</t>
  </si>
  <si>
    <t>Clearfell Stocking:</t>
  </si>
  <si>
    <t>Inventory info &amp; growth modelling</t>
  </si>
  <si>
    <t>Piece size:</t>
  </si>
  <si>
    <t>Unit cost:</t>
  </si>
  <si>
    <t>Discount rate:</t>
  </si>
  <si>
    <r>
      <t>$/m</t>
    </r>
    <r>
      <rPr>
        <i/>
        <vertAlign val="superscript"/>
        <sz val="11"/>
        <color rgb="FF222222"/>
        <rFont val="Calibri"/>
        <family val="2"/>
        <scheme val="minor"/>
      </rPr>
      <t>3</t>
    </r>
  </si>
  <si>
    <t>total volume</t>
  </si>
  <si>
    <t>stocking</t>
  </si>
  <si>
    <t>unit cost</t>
  </si>
  <si>
    <r>
      <t>m</t>
    </r>
    <r>
      <rPr>
        <i/>
        <vertAlign val="superscript"/>
        <sz val="10"/>
        <color rgb="FF222222"/>
        <rFont val="Calibri"/>
        <family val="2"/>
        <scheme val="minor"/>
      </rPr>
      <t>3</t>
    </r>
    <r>
      <rPr>
        <i/>
        <sz val="10"/>
        <color rgb="FF222222"/>
        <rFont val="Calibri"/>
        <family val="2"/>
        <scheme val="minor"/>
      </rPr>
      <t>/ha</t>
    </r>
  </si>
  <si>
    <r>
      <t>m</t>
    </r>
    <r>
      <rPr>
        <i/>
        <vertAlign val="superscript"/>
        <sz val="10"/>
        <color rgb="FF222222"/>
        <rFont val="Calibri"/>
        <family val="2"/>
        <scheme val="minor"/>
      </rPr>
      <t>3</t>
    </r>
    <r>
      <rPr>
        <i/>
        <sz val="10"/>
        <color rgb="FF222222"/>
        <rFont val="Calibri"/>
        <family val="2"/>
        <scheme val="minor"/>
      </rPr>
      <t>/stem</t>
    </r>
  </si>
  <si>
    <r>
      <t>m</t>
    </r>
    <r>
      <rPr>
        <i/>
        <vertAlign val="superscript"/>
        <sz val="10"/>
        <color rgb="FF222222"/>
        <rFont val="Calibri"/>
        <family val="2"/>
        <scheme val="minor"/>
      </rPr>
      <t>3</t>
    </r>
    <r>
      <rPr>
        <i/>
        <sz val="10"/>
        <color rgb="FF222222"/>
        <rFont val="Calibri"/>
        <family val="2"/>
        <scheme val="minor"/>
      </rPr>
      <t>/yr/ha</t>
    </r>
  </si>
  <si>
    <r>
      <t>$/m</t>
    </r>
    <r>
      <rPr>
        <i/>
        <vertAlign val="superscript"/>
        <sz val="10"/>
        <color rgb="FF222222"/>
        <rFont val="Calibri"/>
        <family val="2"/>
        <scheme val="minor"/>
      </rPr>
      <t>3</t>
    </r>
  </si>
  <si>
    <t>(change settings in "Summary")</t>
  </si>
  <si>
    <t>Harvest Level:</t>
  </si>
  <si>
    <r>
      <t>m</t>
    </r>
    <r>
      <rPr>
        <i/>
        <vertAlign val="superscript"/>
        <sz val="10"/>
        <color rgb="FF222222"/>
        <rFont val="Calibri"/>
        <family val="2"/>
        <scheme val="minor"/>
      </rPr>
      <t>3</t>
    </r>
    <r>
      <rPr>
        <i/>
        <sz val="10"/>
        <color rgb="FF222222"/>
        <rFont val="Calibri"/>
        <family val="2"/>
        <scheme val="minor"/>
      </rPr>
      <t>/ha/yr</t>
    </r>
  </si>
  <si>
    <t>LEV</t>
  </si>
  <si>
    <t>Max LEV</t>
  </si>
  <si>
    <t>Net stumpage:</t>
  </si>
  <si>
    <t>stumpage</t>
  </si>
  <si>
    <t>Land Expectation Value($/ha)</t>
  </si>
  <si>
    <t>Total Harvest Revenue ($/ha)</t>
  </si>
  <si>
    <t>Stocking (spha)</t>
  </si>
  <si>
    <t>volume (m3)</t>
  </si>
  <si>
    <t xml:space="preserve"> piece size (m3/stem)</t>
  </si>
  <si>
    <t>mean DBH (cm)</t>
  </si>
  <si>
    <t>Current Inventory &amp; growth modelling</t>
  </si>
  <si>
    <t>DBH incr. (cm/yr)</t>
  </si>
  <si>
    <t>Vol incr. (m3/yr/ha)</t>
  </si>
  <si>
    <t>Age</t>
  </si>
  <si>
    <t>Period:</t>
  </si>
  <si>
    <t>Net Stumpage Pre-tax ($/ha)</t>
  </si>
  <si>
    <t>Annual Costs ($/ha)</t>
  </si>
  <si>
    <t>Stumpage Revenue ($/ha)</t>
  </si>
  <si>
    <t>C</t>
  </si>
  <si>
    <t>Clearfelling</t>
  </si>
  <si>
    <t>Tending costs</t>
  </si>
  <si>
    <t>Release</t>
  </si>
  <si>
    <t>Thinning</t>
  </si>
  <si>
    <t>1st Prune</t>
  </si>
  <si>
    <t>Establishment</t>
  </si>
  <si>
    <t>age</t>
  </si>
  <si>
    <t>Discounted Tending Costs ($)</t>
  </si>
  <si>
    <t>2nd Prune</t>
  </si>
  <si>
    <t>year(s)</t>
  </si>
  <si>
    <t>Planting</t>
  </si>
  <si>
    <t>Max NPV:</t>
  </si>
  <si>
    <t>NPV:</t>
  </si>
  <si>
    <t>NPV</t>
  </si>
  <si>
    <t>at age:</t>
  </si>
  <si>
    <t>Land rent ($/ha)</t>
  </si>
  <si>
    <t>This Project is funded by: MPI Sustainable Farming Fund, Wairarapa and Wellington Branches of the NZFFA, Tinui Forest Park Ltd.</t>
  </si>
  <si>
    <t>The Project team: Mark Bloomberg, Eric Cairns, Denny Du, Harriet Plamer, Chris Perry.</t>
  </si>
  <si>
    <t>Target Diameter Harveting: an alternative to clearfelling for radiata pine</t>
  </si>
  <si>
    <t>This demo is a simple version of project model to examine the financial feasibility of introducing target diameter harvesting (TDH) to four case study woodlots in the lower North Island.</t>
  </si>
  <si>
    <t>Clearfell - PHI analysis</t>
  </si>
  <si>
    <t>Users have options to change yellow cells to examine the results for different harvesing scenarios. Go to "Inputs" section to explore assumptions and variables used in this project.</t>
  </si>
  <si>
    <t>Property name:</t>
  </si>
  <si>
    <t>Acknowledgements</t>
  </si>
  <si>
    <t xml:space="preserve">Harvest level </t>
  </si>
  <si>
    <t>Max annual volume: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</si>
</sst>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###\ ##0&quot; ha&quot;"/>
    <numFmt numFmtId="166" formatCode="###\ ###\ ###\ ##0;\-###\ ###\ ###\ ##0;\-\ \ \ \ \ \ "/>
    <numFmt numFmtId="167" formatCode="_-* #,##0.0_-;\-* #,##0.0_-;_-* &quot;-&quot;??_-;_-@_-"/>
    <numFmt numFmtId="168" formatCode="#,##0.0;[Red]\-#,##0.0"/>
    <numFmt numFmtId="169" formatCode="0.0%"/>
    <numFmt numFmtId="170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sz val="10"/>
      <name val="Helv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8" tint="-0.249977111117893"/>
      <name val="Arial"/>
      <family val="2"/>
    </font>
    <font>
      <i/>
      <sz val="9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32599E"/>
      <name val="Calibri"/>
      <family val="2"/>
      <scheme val="minor"/>
    </font>
    <font>
      <i/>
      <sz val="11"/>
      <color rgb="FF222222"/>
      <name val="Calibri"/>
      <family val="2"/>
      <scheme val="minor"/>
    </font>
    <font>
      <i/>
      <vertAlign val="superscript"/>
      <sz val="11"/>
      <color rgb="FF222222"/>
      <name val="Calibri"/>
      <family val="2"/>
      <scheme val="minor"/>
    </font>
    <font>
      <i/>
      <sz val="10"/>
      <color rgb="FF222222"/>
      <name val="Calibri"/>
      <family val="2"/>
      <scheme val="minor"/>
    </font>
    <font>
      <i/>
      <vertAlign val="superscript"/>
      <sz val="10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32599E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mediumGray">
        <fgColor indexed="26"/>
        <bgColor indexed="22"/>
      </patternFill>
    </fill>
    <fill>
      <patternFill patternType="mediumGray">
        <fgColor indexed="9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12" fillId="0" borderId="0"/>
    <xf numFmtId="0" fontId="5" fillId="0" borderId="0"/>
    <xf numFmtId="4" fontId="11" fillId="0" borderId="0" applyFont="0" applyFill="0" applyBorder="0" applyAlignment="0" applyProtection="0"/>
  </cellStyleXfs>
  <cellXfs count="264">
    <xf numFmtId="0" fontId="0" fillId="0" borderId="0" xfId="0"/>
    <xf numFmtId="0" fontId="4" fillId="0" borderId="0" xfId="3" applyFont="1"/>
    <xf numFmtId="0" fontId="5" fillId="0" borderId="0" xfId="3" applyFont="1"/>
    <xf numFmtId="0" fontId="5" fillId="0" borderId="0" xfId="0" applyFont="1"/>
    <xf numFmtId="0" fontId="5" fillId="0" borderId="1" xfId="0" applyFont="1" applyBorder="1"/>
    <xf numFmtId="164" fontId="5" fillId="0" borderId="0" xfId="1" applyNumberFormat="1" applyFont="1"/>
    <xf numFmtId="0" fontId="6" fillId="2" borderId="2" xfId="3" applyFont="1" applyFill="1" applyBorder="1"/>
    <xf numFmtId="0" fontId="5" fillId="2" borderId="2" xfId="3" applyFont="1" applyFill="1" applyBorder="1"/>
    <xf numFmtId="0" fontId="6" fillId="2" borderId="2" xfId="3" applyFont="1" applyFill="1" applyBorder="1" applyAlignment="1">
      <alignment horizontal="right"/>
    </xf>
    <xf numFmtId="0" fontId="6" fillId="0" borderId="0" xfId="3" applyFont="1"/>
    <xf numFmtId="0" fontId="5" fillId="0" borderId="0" xfId="3" applyFont="1" applyProtection="1">
      <protection locked="0"/>
    </xf>
    <xf numFmtId="165" fontId="5" fillId="0" borderId="0" xfId="3" applyNumberFormat="1" applyFont="1" applyAlignment="1">
      <alignment horizontal="right"/>
    </xf>
    <xf numFmtId="0" fontId="7" fillId="0" borderId="0" xfId="3" applyFont="1" applyProtection="1">
      <protection locked="0"/>
    </xf>
    <xf numFmtId="0" fontId="8" fillId="0" borderId="0" xfId="3" applyFont="1" applyProtection="1">
      <protection locked="0"/>
    </xf>
    <xf numFmtId="164" fontId="9" fillId="0" borderId="0" xfId="3" applyNumberFormat="1" applyFont="1"/>
    <xf numFmtId="9" fontId="10" fillId="0" borderId="0" xfId="2" applyFont="1"/>
    <xf numFmtId="0" fontId="6" fillId="3" borderId="3" xfId="3" applyFont="1" applyFill="1" applyBorder="1" applyProtection="1">
      <protection locked="0"/>
    </xf>
    <xf numFmtId="164" fontId="5" fillId="3" borderId="3" xfId="1" applyNumberFormat="1" applyFont="1" applyFill="1" applyBorder="1"/>
    <xf numFmtId="9" fontId="10" fillId="3" borderId="3" xfId="2" applyFont="1" applyFill="1" applyBorder="1"/>
    <xf numFmtId="164" fontId="6" fillId="3" borderId="3" xfId="1" applyNumberFormat="1" applyFont="1" applyFill="1" applyBorder="1"/>
    <xf numFmtId="0" fontId="6" fillId="3" borderId="3" xfId="3" applyFont="1" applyFill="1" applyBorder="1"/>
    <xf numFmtId="166" fontId="6" fillId="3" borderId="3" xfId="3" applyNumberFormat="1" applyFont="1" applyFill="1" applyBorder="1"/>
    <xf numFmtId="0" fontId="6" fillId="0" borderId="0" xfId="3" applyFont="1" applyProtection="1">
      <protection locked="0"/>
    </xf>
    <xf numFmtId="166" fontId="7" fillId="0" borderId="0" xfId="3" applyNumberFormat="1" applyFont="1"/>
    <xf numFmtId="164" fontId="6" fillId="0" borderId="0" xfId="1" applyNumberFormat="1" applyFont="1"/>
    <xf numFmtId="164" fontId="8" fillId="0" borderId="0" xfId="1" applyNumberFormat="1" applyFont="1" applyProtection="1">
      <protection locked="0"/>
    </xf>
    <xf numFmtId="166" fontId="10" fillId="0" borderId="0" xfId="3" applyNumberFormat="1" applyFont="1"/>
    <xf numFmtId="43" fontId="8" fillId="0" borderId="0" xfId="3" applyNumberFormat="1" applyFont="1" applyProtection="1">
      <protection locked="0"/>
    </xf>
    <xf numFmtId="167" fontId="5" fillId="0" borderId="0" xfId="1" applyNumberFormat="1" applyFont="1"/>
    <xf numFmtId="165" fontId="10" fillId="0" borderId="0" xfId="3" applyNumberFormat="1" applyFont="1"/>
    <xf numFmtId="166" fontId="7" fillId="0" borderId="0" xfId="3" applyNumberFormat="1" applyFont="1" applyProtection="1">
      <protection locked="0"/>
    </xf>
    <xf numFmtId="164" fontId="5" fillId="0" borderId="0" xfId="1" applyNumberFormat="1" applyFont="1" applyProtection="1">
      <protection locked="0"/>
    </xf>
    <xf numFmtId="0" fontId="6" fillId="0" borderId="0" xfId="0" applyFont="1"/>
    <xf numFmtId="9" fontId="5" fillId="0" borderId="0" xfId="2" applyFont="1"/>
    <xf numFmtId="38" fontId="0" fillId="0" borderId="0" xfId="1" applyNumberFormat="1" applyFont="1"/>
    <xf numFmtId="0" fontId="13" fillId="0" borderId="0" xfId="0" applyFont="1"/>
    <xf numFmtId="0" fontId="1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7" fontId="6" fillId="3" borderId="3" xfId="1" applyNumberFormat="1" applyFont="1" applyFill="1" applyBorder="1"/>
    <xf numFmtId="167" fontId="5" fillId="0" borderId="0" xfId="1" applyNumberFormat="1" applyFont="1" applyAlignment="1">
      <alignment horizontal="right"/>
    </xf>
    <xf numFmtId="0" fontId="6" fillId="3" borderId="0" xfId="3" applyFont="1" applyFill="1" applyProtection="1">
      <protection locked="0"/>
    </xf>
    <xf numFmtId="0" fontId="6" fillId="3" borderId="0" xfId="3" applyFont="1" applyFill="1"/>
    <xf numFmtId="166" fontId="6" fillId="3" borderId="0" xfId="3" applyNumberFormat="1" applyFont="1" applyFill="1"/>
    <xf numFmtId="164" fontId="6" fillId="3" borderId="0" xfId="1" applyNumberFormat="1" applyFont="1" applyFill="1"/>
    <xf numFmtId="43" fontId="0" fillId="0" borderId="0" xfId="0" applyNumberFormat="1"/>
    <xf numFmtId="170" fontId="0" fillId="0" borderId="0" xfId="0" applyNumberFormat="1"/>
    <xf numFmtId="0" fontId="5" fillId="4" borderId="4" xfId="3" applyFont="1" applyFill="1" applyBorder="1" applyAlignment="1">
      <alignment horizontal="center"/>
    </xf>
    <xf numFmtId="169" fontId="0" fillId="0" borderId="0" xfId="0" applyNumberFormat="1"/>
    <xf numFmtId="0" fontId="16" fillId="0" borderId="5" xfId="3" applyFont="1" applyBorder="1" applyProtection="1">
      <protection locked="0"/>
    </xf>
    <xf numFmtId="0" fontId="16" fillId="0" borderId="4" xfId="3" applyFont="1" applyBorder="1" applyProtection="1">
      <protection locked="0"/>
    </xf>
    <xf numFmtId="0" fontId="17" fillId="0" borderId="0" xfId="3" applyFont="1"/>
    <xf numFmtId="169" fontId="0" fillId="0" borderId="0" xfId="2" applyNumberFormat="1" applyFont="1"/>
    <xf numFmtId="164" fontId="5" fillId="0" borderId="6" xfId="1" applyNumberFormat="1" applyFont="1" applyBorder="1"/>
    <xf numFmtId="165" fontId="5" fillId="0" borderId="0" xfId="3" applyNumberFormat="1" applyFont="1" applyAlignment="1">
      <alignment horizontal="left"/>
    </xf>
    <xf numFmtId="0" fontId="18" fillId="0" borderId="0" xfId="0" applyFont="1"/>
    <xf numFmtId="169" fontId="5" fillId="0" borderId="0" xfId="4" applyNumberFormat="1" applyFont="1" applyAlignment="1">
      <alignment horizontal="right"/>
    </xf>
    <xf numFmtId="38" fontId="15" fillId="0" borderId="0" xfId="1" applyNumberFormat="1" applyFont="1"/>
    <xf numFmtId="0" fontId="16" fillId="0" borderId="0" xfId="3" applyFont="1" applyProtection="1">
      <protection locked="0"/>
    </xf>
    <xf numFmtId="0" fontId="16" fillId="0" borderId="7" xfId="3" applyFont="1" applyBorder="1" applyProtection="1">
      <protection locked="0"/>
    </xf>
    <xf numFmtId="0" fontId="5" fillId="4" borderId="7" xfId="3" applyFont="1" applyFill="1" applyBorder="1" applyAlignment="1">
      <alignment horizontal="center"/>
    </xf>
    <xf numFmtId="165" fontId="5" fillId="0" borderId="1" xfId="3" applyNumberFormat="1" applyFont="1" applyBorder="1" applyAlignment="1">
      <alignment horizontal="right"/>
    </xf>
    <xf numFmtId="164" fontId="5" fillId="0" borderId="1" xfId="1" applyNumberFormat="1" applyFont="1" applyBorder="1"/>
    <xf numFmtId="164" fontId="0" fillId="0" borderId="4" xfId="0" applyNumberFormat="1" applyBorder="1"/>
    <xf numFmtId="0" fontId="6" fillId="3" borderId="4" xfId="3" applyFont="1" applyFill="1" applyBorder="1" applyProtection="1">
      <protection locked="0"/>
    </xf>
    <xf numFmtId="167" fontId="0" fillId="0" borderId="8" xfId="0" applyNumberFormat="1" applyBorder="1"/>
    <xf numFmtId="164" fontId="0" fillId="0" borderId="8" xfId="0" applyNumberFormat="1" applyBorder="1"/>
    <xf numFmtId="167" fontId="6" fillId="3" borderId="4" xfId="1" applyNumberFormat="1" applyFont="1" applyFill="1" applyBorder="1"/>
    <xf numFmtId="0" fontId="6" fillId="3" borderId="4" xfId="3" applyFont="1" applyFill="1" applyBorder="1" applyAlignment="1" applyProtection="1">
      <alignment horizontal="left"/>
      <protection locked="0"/>
    </xf>
    <xf numFmtId="0" fontId="19" fillId="2" borderId="8" xfId="3" applyFont="1" applyFill="1" applyBorder="1" applyAlignment="1">
      <alignment horizontal="center"/>
    </xf>
    <xf numFmtId="0" fontId="0" fillId="0" borderId="1" xfId="0" applyBorder="1"/>
    <xf numFmtId="0" fontId="0" fillId="4" borderId="4" xfId="0" applyFill="1" applyBorder="1" applyAlignment="1">
      <alignment horizontal="center"/>
    </xf>
    <xf numFmtId="164" fontId="20" fillId="0" borderId="4" xfId="0" applyNumberFormat="1" applyFont="1" applyBorder="1"/>
    <xf numFmtId="1" fontId="0" fillId="0" borderId="0" xfId="0" applyNumberFormat="1"/>
    <xf numFmtId="164" fontId="0" fillId="0" borderId="0" xfId="0" applyNumberFormat="1"/>
    <xf numFmtId="167" fontId="0" fillId="0" borderId="0" xfId="0" applyNumberFormat="1"/>
    <xf numFmtId="0" fontId="6" fillId="3" borderId="4" xfId="3" applyFont="1" applyFill="1" applyBorder="1" applyAlignment="1" applyProtection="1">
      <alignment horizontal="center"/>
      <protection locked="0"/>
    </xf>
    <xf numFmtId="164" fontId="6" fillId="3" borderId="4" xfId="1" applyNumberFormat="1" applyFont="1" applyFill="1" applyBorder="1"/>
    <xf numFmtId="0" fontId="0" fillId="0" borderId="0" xfId="0" applyAlignment="1">
      <alignment horizontal="right"/>
    </xf>
    <xf numFmtId="0" fontId="6" fillId="3" borderId="1" xfId="3" applyFont="1" applyFill="1" applyBorder="1" applyProtection="1">
      <protection locked="0"/>
    </xf>
    <xf numFmtId="0" fontId="6" fillId="3" borderId="1" xfId="3" applyFont="1" applyFill="1" applyBorder="1"/>
    <xf numFmtId="166" fontId="6" fillId="3" borderId="1" xfId="3" applyNumberFormat="1" applyFont="1" applyFill="1" applyBorder="1"/>
    <xf numFmtId="164" fontId="6" fillId="3" borderId="1" xfId="1" applyNumberFormat="1" applyFont="1" applyFill="1" applyBorder="1"/>
    <xf numFmtId="166" fontId="6" fillId="0" borderId="0" xfId="3" applyNumberFormat="1" applyFont="1"/>
    <xf numFmtId="167" fontId="6" fillId="3" borderId="0" xfId="1" applyNumberFormat="1" applyFont="1" applyFill="1"/>
    <xf numFmtId="167" fontId="6" fillId="0" borderId="0" xfId="1" applyNumberFormat="1" applyFont="1"/>
    <xf numFmtId="0" fontId="5" fillId="0" borderId="0" xfId="3" applyFont="1" applyAlignment="1">
      <alignment horizontal="center"/>
    </xf>
    <xf numFmtId="9" fontId="0" fillId="0" borderId="0" xfId="2" applyFont="1"/>
    <xf numFmtId="0" fontId="0" fillId="9" borderId="18" xfId="0" applyFill="1" applyBorder="1" applyProtection="1">
      <protection locked="0" hidden="1"/>
    </xf>
    <xf numFmtId="0" fontId="0" fillId="9" borderId="19" xfId="0" applyFill="1" applyBorder="1" applyProtection="1">
      <protection locked="0" hidden="1"/>
    </xf>
    <xf numFmtId="0" fontId="0" fillId="6" borderId="0" xfId="0" applyFill="1" applyProtection="1">
      <protection locked="0" hidden="1"/>
    </xf>
    <xf numFmtId="0" fontId="0" fillId="6" borderId="23" xfId="0" applyFill="1" applyBorder="1" applyProtection="1">
      <protection locked="0" hidden="1"/>
    </xf>
    <xf numFmtId="0" fontId="0" fillId="6" borderId="10" xfId="0" applyFill="1" applyBorder="1" applyProtection="1">
      <protection locked="0" hidden="1"/>
    </xf>
    <xf numFmtId="0" fontId="0" fillId="6" borderId="24" xfId="0" applyFill="1" applyBorder="1" applyProtection="1">
      <protection locked="0" hidden="1"/>
    </xf>
    <xf numFmtId="0" fontId="0" fillId="6" borderId="13" xfId="0" applyFill="1" applyBorder="1" applyProtection="1">
      <protection locked="0" hidden="1"/>
    </xf>
    <xf numFmtId="0" fontId="0" fillId="6" borderId="0" xfId="0" applyFill="1" applyAlignment="1" applyProtection="1">
      <alignment horizontal="right"/>
      <protection locked="0" hidden="1"/>
    </xf>
    <xf numFmtId="0" fontId="0" fillId="4" borderId="4" xfId="0" applyFill="1" applyBorder="1" applyAlignment="1" applyProtection="1">
      <alignment horizontal="center"/>
      <protection locked="0" hidden="1"/>
    </xf>
    <xf numFmtId="0" fontId="29" fillId="6" borderId="0" xfId="0" applyFont="1" applyFill="1" applyAlignment="1" applyProtection="1">
      <alignment horizontal="center"/>
      <protection locked="0" hidden="1"/>
    </xf>
    <xf numFmtId="0" fontId="18" fillId="6" borderId="0" xfId="0" applyFont="1" applyFill="1" applyProtection="1">
      <protection locked="0" hidden="1"/>
    </xf>
    <xf numFmtId="0" fontId="0" fillId="6" borderId="14" xfId="0" applyFill="1" applyBorder="1" applyProtection="1">
      <protection locked="0" hidden="1"/>
    </xf>
    <xf numFmtId="0" fontId="0" fillId="6" borderId="0" xfId="0" applyFill="1" applyAlignment="1" applyProtection="1">
      <alignment horizontal="center"/>
      <protection locked="0" hidden="1"/>
    </xf>
    <xf numFmtId="0" fontId="21" fillId="6" borderId="0" xfId="0" applyFont="1" applyFill="1" applyProtection="1">
      <protection locked="0" hidden="1"/>
    </xf>
    <xf numFmtId="0" fontId="27" fillId="6" borderId="0" xfId="0" applyFont="1" applyFill="1" applyProtection="1">
      <protection locked="0" hidden="1"/>
    </xf>
    <xf numFmtId="0" fontId="18" fillId="6" borderId="14" xfId="0" applyFont="1" applyFill="1" applyBorder="1" applyProtection="1">
      <protection locked="0" hidden="1"/>
    </xf>
    <xf numFmtId="0" fontId="0" fillId="6" borderId="0" xfId="0" applyFill="1" applyAlignment="1" applyProtection="1">
      <alignment horizontal="left"/>
      <protection locked="0" hidden="1"/>
    </xf>
    <xf numFmtId="0" fontId="29" fillId="6" borderId="14" xfId="0" applyFont="1" applyFill="1" applyBorder="1" applyAlignment="1" applyProtection="1">
      <alignment horizontal="left"/>
      <protection locked="0" hidden="1"/>
    </xf>
    <xf numFmtId="0" fontId="0" fillId="6" borderId="1" xfId="0" applyFill="1" applyBorder="1" applyAlignment="1" applyProtection="1">
      <alignment horizontal="right"/>
      <protection locked="0" hidden="1"/>
    </xf>
    <xf numFmtId="0" fontId="2" fillId="6" borderId="0" xfId="0" applyFont="1" applyFill="1" applyAlignment="1" applyProtection="1">
      <alignment horizontal="right"/>
      <protection locked="0" hidden="1"/>
    </xf>
    <xf numFmtId="164" fontId="29" fillId="6" borderId="0" xfId="1" applyNumberFormat="1" applyFont="1" applyFill="1" applyAlignment="1" applyProtection="1">
      <alignment horizontal="center"/>
      <protection locked="0" hidden="1"/>
    </xf>
    <xf numFmtId="0" fontId="25" fillId="0" borderId="14" xfId="0" applyFont="1" applyBorder="1" applyProtection="1">
      <protection locked="0" hidden="1"/>
    </xf>
    <xf numFmtId="169" fontId="0" fillId="4" borderId="4" xfId="2" applyNumberFormat="1" applyFont="1" applyFill="1" applyBorder="1" applyAlignment="1" applyProtection="1">
      <alignment horizontal="center"/>
      <protection locked="0" hidden="1"/>
    </xf>
    <xf numFmtId="0" fontId="25" fillId="6" borderId="0" xfId="0" applyFont="1" applyFill="1" applyProtection="1">
      <protection locked="0" hidden="1"/>
    </xf>
    <xf numFmtId="1" fontId="22" fillId="6" borderId="0" xfId="0" applyNumberFormat="1" applyFont="1" applyFill="1" applyAlignment="1" applyProtection="1">
      <alignment horizontal="center"/>
      <protection locked="0" hidden="1"/>
    </xf>
    <xf numFmtId="0" fontId="0" fillId="6" borderId="15" xfId="0" applyFill="1" applyBorder="1" applyProtection="1">
      <protection locked="0" hidden="1"/>
    </xf>
    <xf numFmtId="0" fontId="0" fillId="6" borderId="9" xfId="0" applyFill="1" applyBorder="1" applyProtection="1">
      <protection locked="0" hidden="1"/>
    </xf>
    <xf numFmtId="0" fontId="0" fillId="6" borderId="16" xfId="0" applyFill="1" applyBorder="1" applyProtection="1">
      <protection locked="0" hidden="1"/>
    </xf>
    <xf numFmtId="1" fontId="29" fillId="6" borderId="0" xfId="0" applyNumberFormat="1" applyFont="1" applyFill="1" applyAlignment="1" applyProtection="1">
      <alignment horizontal="center"/>
      <protection locked="0" hidden="1"/>
    </xf>
    <xf numFmtId="170" fontId="29" fillId="6" borderId="0" xfId="0" applyNumberFormat="1" applyFont="1" applyFill="1" applyAlignment="1" applyProtection="1">
      <alignment horizontal="center"/>
      <protection locked="0" hidden="1"/>
    </xf>
    <xf numFmtId="0" fontId="25" fillId="0" borderId="0" xfId="0" applyFont="1" applyProtection="1">
      <protection locked="0" hidden="1"/>
    </xf>
    <xf numFmtId="164" fontId="28" fillId="6" borderId="0" xfId="1" applyNumberFormat="1" applyFont="1" applyFill="1" applyProtection="1">
      <protection locked="0" hidden="1"/>
    </xf>
    <xf numFmtId="0" fontId="21" fillId="6" borderId="14" xfId="0" applyFont="1" applyFill="1" applyBorder="1" applyProtection="1">
      <protection locked="0" hidden="1"/>
    </xf>
    <xf numFmtId="0" fontId="0" fillId="6" borderId="25" xfId="0" applyFill="1" applyBorder="1" applyProtection="1">
      <protection locked="0" hidden="1"/>
    </xf>
    <xf numFmtId="0" fontId="0" fillId="6" borderId="1" xfId="0" applyFill="1" applyBorder="1" applyProtection="1">
      <protection locked="0" hidden="1"/>
    </xf>
    <xf numFmtId="0" fontId="0" fillId="6" borderId="21" xfId="0" applyFill="1" applyBorder="1" applyProtection="1">
      <protection locked="0" hidden="1"/>
    </xf>
    <xf numFmtId="0" fontId="23" fillId="0" borderId="0" xfId="0" applyFont="1" applyProtection="1">
      <protection locked="0" hidden="1"/>
    </xf>
    <xf numFmtId="164" fontId="29" fillId="6" borderId="0" xfId="1" applyNumberFormat="1" applyFont="1" applyFill="1" applyProtection="1">
      <protection locked="0" hidden="1"/>
    </xf>
    <xf numFmtId="0" fontId="30" fillId="6" borderId="0" xfId="0" applyFont="1" applyFill="1" applyProtection="1">
      <protection locked="0" hidden="1"/>
    </xf>
    <xf numFmtId="0" fontId="2" fillId="9" borderId="22" xfId="0" applyFont="1" applyFill="1" applyBorder="1" applyProtection="1">
      <protection locked="0" hidden="1"/>
    </xf>
    <xf numFmtId="0" fontId="0" fillId="6" borderId="15" xfId="0" applyFill="1" applyBorder="1" applyAlignment="1" applyProtection="1">
      <alignment vertical="top"/>
      <protection locked="0" hidden="1"/>
    </xf>
    <xf numFmtId="0" fontId="0" fillId="6" borderId="9" xfId="0" applyFill="1" applyBorder="1" applyAlignment="1" applyProtection="1">
      <alignment vertical="top" wrapText="1"/>
      <protection locked="0" hidden="1"/>
    </xf>
    <xf numFmtId="164" fontId="20" fillId="6" borderId="0" xfId="1" applyNumberFormat="1" applyFont="1" applyFill="1" applyAlignment="1" applyProtection="1">
      <alignment horizontal="right"/>
      <protection locked="0" hidden="1"/>
    </xf>
    <xf numFmtId="164" fontId="20" fillId="6" borderId="1" xfId="1" applyNumberFormat="1" applyFont="1" applyFill="1" applyBorder="1" applyAlignment="1" applyProtection="1">
      <alignment horizontal="right"/>
      <protection locked="0" hidden="1"/>
    </xf>
    <xf numFmtId="164" fontId="29" fillId="6" borderId="0" xfId="1" applyNumberFormat="1" applyFont="1" applyFill="1" applyAlignment="1" applyProtection="1">
      <alignment horizontal="right"/>
      <protection locked="0" hidden="1"/>
    </xf>
    <xf numFmtId="0" fontId="0" fillId="10" borderId="0" xfId="0" applyFill="1" applyProtection="1">
      <protection locked="0" hidden="1"/>
    </xf>
    <xf numFmtId="0" fontId="18" fillId="10" borderId="0" xfId="0" applyFont="1" applyFill="1" applyProtection="1">
      <protection locked="0" hidden="1"/>
    </xf>
    <xf numFmtId="0" fontId="25" fillId="10" borderId="0" xfId="0" applyFont="1" applyFill="1" applyProtection="1">
      <protection locked="0" hidden="1"/>
    </xf>
    <xf numFmtId="1" fontId="0" fillId="10" borderId="0" xfId="0" applyNumberFormat="1" applyFill="1" applyProtection="1">
      <protection locked="0" hidden="1"/>
    </xf>
    <xf numFmtId="0" fontId="0" fillId="9" borderId="27" xfId="0" applyFill="1" applyBorder="1" applyProtection="1">
      <protection locked="0" hidden="1"/>
    </xf>
    <xf numFmtId="0" fontId="0" fillId="9" borderId="28" xfId="0" applyFill="1" applyBorder="1" applyProtection="1">
      <protection locked="0" hidden="1"/>
    </xf>
    <xf numFmtId="0" fontId="15" fillId="9" borderId="27" xfId="0" applyFont="1" applyFill="1" applyBorder="1" applyProtection="1">
      <protection locked="0" hidden="1"/>
    </xf>
    <xf numFmtId="0" fontId="15" fillId="9" borderId="28" xfId="0" applyFont="1" applyFill="1" applyBorder="1" applyProtection="1">
      <protection locked="0" hidden="1"/>
    </xf>
    <xf numFmtId="0" fontId="35" fillId="9" borderId="26" xfId="0" applyFont="1" applyFill="1" applyBorder="1" applyProtection="1">
      <protection locked="0" hidden="1"/>
    </xf>
    <xf numFmtId="0" fontId="0" fillId="6" borderId="11" xfId="0" applyFill="1" applyBorder="1" applyAlignment="1" applyProtection="1">
      <alignment horizontal="left"/>
      <protection locked="0" hidden="1"/>
    </xf>
    <xf numFmtId="0" fontId="0" fillId="6" borderId="2" xfId="0" applyFill="1" applyBorder="1" applyProtection="1">
      <protection locked="0" hidden="1"/>
    </xf>
    <xf numFmtId="0" fontId="0" fillId="6" borderId="12" xfId="0" applyFill="1" applyBorder="1" applyProtection="1">
      <protection locked="0" hidden="1"/>
    </xf>
    <xf numFmtId="0" fontId="0" fillId="10" borderId="0" xfId="0" applyFill="1" applyAlignment="1" applyProtection="1">
      <alignment vertical="top"/>
      <protection locked="0" hidden="1"/>
    </xf>
    <xf numFmtId="0" fontId="0" fillId="6" borderId="11" xfId="0" applyFill="1" applyBorder="1" applyAlignment="1" applyProtection="1">
      <alignment vertical="top"/>
      <protection locked="0" hidden="1"/>
    </xf>
    <xf numFmtId="0" fontId="0" fillId="6" borderId="2" xfId="0" applyFill="1" applyBorder="1" applyAlignment="1" applyProtection="1">
      <alignment vertical="top"/>
      <protection locked="0" hidden="1"/>
    </xf>
    <xf numFmtId="0" fontId="0" fillId="6" borderId="12" xfId="0" applyFill="1" applyBorder="1" applyAlignment="1" applyProtection="1">
      <alignment vertical="top"/>
      <protection locked="0" hidden="1"/>
    </xf>
    <xf numFmtId="0" fontId="5" fillId="6" borderId="13" xfId="0" applyFont="1" applyFill="1" applyBorder="1" applyProtection="1">
      <protection locked="0" hidden="1"/>
    </xf>
    <xf numFmtId="0" fontId="5" fillId="6" borderId="0" xfId="0" applyFont="1" applyFill="1" applyProtection="1">
      <protection locked="0" hidden="1"/>
    </xf>
    <xf numFmtId="168" fontId="5" fillId="6" borderId="0" xfId="1" applyNumberFormat="1" applyFont="1" applyFill="1" applyProtection="1">
      <protection locked="0" hidden="1"/>
    </xf>
    <xf numFmtId="9" fontId="5" fillId="6" borderId="0" xfId="2" applyFont="1" applyFill="1" applyProtection="1">
      <protection locked="0" hidden="1"/>
    </xf>
    <xf numFmtId="0" fontId="0" fillId="6" borderId="13" xfId="0" applyFill="1" applyBorder="1" applyAlignment="1" applyProtection="1">
      <alignment vertical="top"/>
      <protection locked="0" hidden="1"/>
    </xf>
    <xf numFmtId="0" fontId="0" fillId="6" borderId="0" xfId="0" applyFill="1" applyAlignment="1" applyProtection="1">
      <alignment vertical="top"/>
      <protection locked="0" hidden="1"/>
    </xf>
    <xf numFmtId="0" fontId="0" fillId="6" borderId="14" xfId="0" applyFill="1" applyBorder="1" applyAlignment="1" applyProtection="1">
      <alignment vertical="top"/>
      <protection locked="0" hidden="1"/>
    </xf>
    <xf numFmtId="0" fontId="0" fillId="6" borderId="13" xfId="0" applyFill="1" applyBorder="1" applyAlignment="1" applyProtection="1">
      <alignment horizontal="center"/>
      <protection locked="0" hidden="1"/>
    </xf>
    <xf numFmtId="0" fontId="5" fillId="11" borderId="4" xfId="0" applyFont="1" applyFill="1" applyBorder="1" applyAlignment="1" applyProtection="1">
      <alignment horizontal="center" vertical="center"/>
      <protection locked="0" hidden="1"/>
    </xf>
    <xf numFmtId="168" fontId="5" fillId="11" borderId="4" xfId="1" applyNumberFormat="1" applyFont="1" applyFill="1" applyBorder="1" applyAlignment="1" applyProtection="1">
      <alignment horizontal="center" vertical="center"/>
      <protection locked="0" hidden="1"/>
    </xf>
    <xf numFmtId="9" fontId="5" fillId="11" borderId="4" xfId="2" applyFont="1" applyFill="1" applyBorder="1" applyAlignment="1" applyProtection="1">
      <alignment horizontal="center" vertical="center"/>
      <protection locked="0" hidden="1"/>
    </xf>
    <xf numFmtId="0" fontId="5" fillId="11" borderId="4" xfId="0" applyFont="1" applyFill="1" applyBorder="1" applyAlignment="1" applyProtection="1">
      <alignment horizontal="center" vertical="center" wrapText="1"/>
      <protection locked="0" hidden="1"/>
    </xf>
    <xf numFmtId="0" fontId="5" fillId="11" borderId="4" xfId="0" applyFont="1" applyFill="1" applyBorder="1" applyAlignment="1" applyProtection="1">
      <alignment horizontal="center" wrapText="1"/>
      <protection locked="0" hidden="1"/>
    </xf>
    <xf numFmtId="0" fontId="31" fillId="11" borderId="4" xfId="0" applyFont="1" applyFill="1" applyBorder="1" applyAlignment="1" applyProtection="1">
      <alignment horizontal="center" wrapText="1"/>
      <protection locked="0" hidden="1"/>
    </xf>
    <xf numFmtId="0" fontId="0" fillId="6" borderId="14" xfId="0" applyFill="1" applyBorder="1" applyAlignment="1" applyProtection="1">
      <alignment horizontal="center"/>
      <protection locked="0" hidden="1"/>
    </xf>
    <xf numFmtId="0" fontId="0" fillId="10" borderId="0" xfId="0" applyFill="1" applyAlignment="1" applyProtection="1">
      <alignment horizontal="center"/>
      <protection locked="0" hidden="1"/>
    </xf>
    <xf numFmtId="0" fontId="0" fillId="5" borderId="0" xfId="0" applyFill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9" fontId="0" fillId="5" borderId="0" xfId="2" applyFont="1" applyFill="1" applyAlignment="1" applyProtection="1">
      <alignment horizontal="center"/>
      <protection locked="0" hidden="1"/>
    </xf>
    <xf numFmtId="2" fontId="0" fillId="6" borderId="0" xfId="0" applyNumberFormat="1" applyFill="1" applyAlignment="1" applyProtection="1">
      <alignment horizontal="center"/>
      <protection locked="0" hidden="1"/>
    </xf>
    <xf numFmtId="0" fontId="0" fillId="6" borderId="13" xfId="0" applyFill="1" applyBorder="1" applyAlignment="1" applyProtection="1">
      <alignment horizontal="left"/>
      <protection locked="0" hidden="1"/>
    </xf>
    <xf numFmtId="9" fontId="0" fillId="6" borderId="0" xfId="2" applyFont="1" applyFill="1" applyAlignment="1" applyProtection="1">
      <alignment horizontal="center"/>
      <protection locked="0" hidden="1"/>
    </xf>
    <xf numFmtId="0" fontId="6" fillId="11" borderId="5" xfId="0" applyFont="1" applyFill="1" applyBorder="1" applyAlignment="1" applyProtection="1">
      <alignment wrapText="1"/>
      <protection locked="0" hidden="1"/>
    </xf>
    <xf numFmtId="0" fontId="0" fillId="11" borderId="6" xfId="0" applyFill="1" applyBorder="1" applyAlignment="1" applyProtection="1">
      <alignment horizontal="right" wrapText="1"/>
      <protection locked="0" hidden="1"/>
    </xf>
    <xf numFmtId="0" fontId="6" fillId="11" borderId="29" xfId="6" applyFont="1" applyFill="1" applyBorder="1" applyProtection="1">
      <protection locked="0" hidden="1"/>
    </xf>
    <xf numFmtId="43" fontId="5" fillId="11" borderId="30" xfId="1" applyFont="1" applyFill="1" applyBorder="1" applyProtection="1">
      <protection locked="0" hidden="1"/>
    </xf>
    <xf numFmtId="43" fontId="5" fillId="11" borderId="10" xfId="1" applyFont="1" applyFill="1" applyBorder="1" applyProtection="1">
      <protection locked="0" hidden="1"/>
    </xf>
    <xf numFmtId="0" fontId="5" fillId="11" borderId="10" xfId="6" applyFill="1" applyBorder="1" applyAlignment="1" applyProtection="1">
      <alignment horizontal="center"/>
      <protection locked="0" hidden="1"/>
    </xf>
    <xf numFmtId="0" fontId="5" fillId="11" borderId="30" xfId="6" applyFill="1" applyBorder="1" applyAlignment="1" applyProtection="1">
      <alignment horizontal="center"/>
      <protection locked="0" hidden="1"/>
    </xf>
    <xf numFmtId="0" fontId="2" fillId="11" borderId="29" xfId="0" applyFont="1" applyFill="1" applyBorder="1" applyAlignment="1" applyProtection="1">
      <alignment horizontal="left"/>
      <protection locked="0" hidden="1"/>
    </xf>
    <xf numFmtId="0" fontId="0" fillId="11" borderId="10" xfId="0" applyFill="1" applyBorder="1" applyProtection="1">
      <protection locked="0" hidden="1"/>
    </xf>
    <xf numFmtId="0" fontId="0" fillId="11" borderId="24" xfId="0" applyFill="1" applyBorder="1" applyProtection="1">
      <protection locked="0" hidden="1"/>
    </xf>
    <xf numFmtId="4" fontId="5" fillId="5" borderId="0" xfId="7" applyFont="1" applyFill="1" applyAlignment="1" applyProtection="1">
      <alignment horizontal="right" vertical="top" wrapText="1"/>
      <protection locked="0" hidden="1"/>
    </xf>
    <xf numFmtId="0" fontId="5" fillId="11" borderId="31" xfId="5" applyFont="1" applyFill="1" applyBorder="1" applyProtection="1">
      <protection locked="0" hidden="1"/>
    </xf>
    <xf numFmtId="43" fontId="5" fillId="11" borderId="32" xfId="1" applyFont="1" applyFill="1" applyBorder="1" applyAlignment="1" applyProtection="1">
      <alignment horizontal="right"/>
      <protection locked="0" hidden="1"/>
    </xf>
    <xf numFmtId="43" fontId="6" fillId="11" borderId="1" xfId="1" applyFont="1" applyFill="1" applyBorder="1" applyAlignment="1" applyProtection="1">
      <alignment horizontal="center"/>
      <protection locked="0" hidden="1"/>
    </xf>
    <xf numFmtId="0" fontId="2" fillId="11" borderId="1" xfId="0" applyFont="1" applyFill="1" applyBorder="1" applyAlignment="1" applyProtection="1">
      <alignment horizontal="center"/>
      <protection locked="0" hidden="1"/>
    </xf>
    <xf numFmtId="0" fontId="5" fillId="11" borderId="32" xfId="5" applyFont="1" applyFill="1" applyBorder="1" applyAlignment="1" applyProtection="1">
      <alignment horizontal="center"/>
      <protection locked="0" hidden="1"/>
    </xf>
    <xf numFmtId="0" fontId="6" fillId="11" borderId="1" xfId="5" applyFont="1" applyFill="1" applyBorder="1" applyAlignment="1" applyProtection="1">
      <alignment horizontal="center"/>
      <protection locked="0" hidden="1"/>
    </xf>
    <xf numFmtId="43" fontId="5" fillId="11" borderId="1" xfId="1" applyFont="1" applyFill="1" applyBorder="1" applyAlignment="1" applyProtection="1">
      <alignment horizontal="right"/>
      <protection locked="0" hidden="1"/>
    </xf>
    <xf numFmtId="0" fontId="0" fillId="11" borderId="21" xfId="0" applyFill="1" applyBorder="1" applyAlignment="1" applyProtection="1">
      <alignment horizontal="center"/>
      <protection locked="0" hidden="1"/>
    </xf>
    <xf numFmtId="0" fontId="5" fillId="6" borderId="0" xfId="0" applyFont="1" applyFill="1" applyAlignment="1" applyProtection="1">
      <alignment horizontal="right"/>
      <protection locked="0" hidden="1"/>
    </xf>
    <xf numFmtId="43" fontId="5" fillId="5" borderId="0" xfId="1" applyFont="1" applyFill="1" applyProtection="1">
      <protection locked="0" hidden="1"/>
    </xf>
    <xf numFmtId="0" fontId="5" fillId="6" borderId="0" xfId="6" applyFill="1" applyAlignment="1" applyProtection="1">
      <alignment horizontal="right"/>
      <protection locked="0" hidden="1"/>
    </xf>
    <xf numFmtId="0" fontId="5" fillId="6" borderId="0" xfId="6" applyFill="1" applyAlignment="1" applyProtection="1">
      <alignment horizontal="center"/>
      <protection locked="0" hidden="1"/>
    </xf>
    <xf numFmtId="3" fontId="5" fillId="5" borderId="0" xfId="7" applyNumberFormat="1" applyFont="1" applyFill="1" applyProtection="1">
      <protection locked="0" hidden="1"/>
    </xf>
    <xf numFmtId="0" fontId="5" fillId="6" borderId="0" xfId="0" applyFont="1" applyFill="1" applyAlignment="1" applyProtection="1">
      <alignment horizontal="center"/>
      <protection locked="0" hidden="1"/>
    </xf>
    <xf numFmtId="164" fontId="5" fillId="5" borderId="0" xfId="1" applyNumberFormat="1" applyFont="1" applyFill="1" applyProtection="1">
      <protection locked="0" hidden="1"/>
    </xf>
    <xf numFmtId="0" fontId="27" fillId="5" borderId="14" xfId="0" applyFont="1" applyFill="1" applyBorder="1" applyAlignment="1" applyProtection="1">
      <alignment horizontal="center"/>
      <protection locked="0" hidden="1"/>
    </xf>
    <xf numFmtId="4" fontId="5" fillId="5" borderId="0" xfId="7" applyFont="1" applyFill="1" applyProtection="1">
      <protection locked="0" hidden="1"/>
    </xf>
    <xf numFmtId="0" fontId="5" fillId="6" borderId="1" xfId="0" applyFont="1" applyFill="1" applyBorder="1" applyAlignment="1" applyProtection="1">
      <alignment horizontal="right"/>
      <protection locked="0" hidden="1"/>
    </xf>
    <xf numFmtId="43" fontId="5" fillId="5" borderId="1" xfId="1" applyFont="1" applyFill="1" applyBorder="1" applyProtection="1">
      <protection locked="0" hidden="1"/>
    </xf>
    <xf numFmtId="0" fontId="6" fillId="11" borderId="5" xfId="6" applyFont="1" applyFill="1" applyBorder="1" applyProtection="1">
      <protection locked="0" hidden="1"/>
    </xf>
    <xf numFmtId="0" fontId="0" fillId="11" borderId="6" xfId="0" applyFill="1" applyBorder="1" applyProtection="1">
      <protection locked="0" hidden="1"/>
    </xf>
    <xf numFmtId="0" fontId="4" fillId="6" borderId="0" xfId="6" applyFont="1" applyFill="1" applyAlignment="1" applyProtection="1">
      <alignment horizontal="left"/>
      <protection locked="0" hidden="1"/>
    </xf>
    <xf numFmtId="43" fontId="17" fillId="6" borderId="0" xfId="1" applyFont="1" applyFill="1" applyProtection="1">
      <protection locked="0" hidden="1"/>
    </xf>
    <xf numFmtId="169" fontId="0" fillId="5" borderId="0" xfId="0" applyNumberFormat="1" applyFill="1" applyProtection="1">
      <protection locked="0" hidden="1"/>
    </xf>
    <xf numFmtId="0" fontId="0" fillId="5" borderId="0" xfId="0" applyFill="1" applyProtection="1">
      <protection locked="0" hidden="1"/>
    </xf>
    <xf numFmtId="0" fontId="5" fillId="6" borderId="0" xfId="6" applyFill="1" applyProtection="1">
      <protection locked="0" hidden="1"/>
    </xf>
    <xf numFmtId="0" fontId="6" fillId="6" borderId="0" xfId="6" applyFont="1" applyFill="1" applyAlignment="1" applyProtection="1">
      <alignment horizontal="right"/>
      <protection locked="0" hidden="1"/>
    </xf>
    <xf numFmtId="43" fontId="5" fillId="5" borderId="0" xfId="1" applyFont="1" applyFill="1" applyAlignment="1" applyProtection="1">
      <alignment horizontal="right"/>
      <protection locked="0" hidden="1"/>
    </xf>
    <xf numFmtId="0" fontId="0" fillId="6" borderId="15" xfId="0" applyFill="1" applyBorder="1" applyAlignment="1" applyProtection="1">
      <alignment horizontal="left"/>
      <protection locked="0" hidden="1"/>
    </xf>
    <xf numFmtId="0" fontId="0" fillId="6" borderId="9" xfId="0" applyFill="1" applyBorder="1" applyAlignment="1" applyProtection="1">
      <alignment horizontal="left"/>
      <protection locked="0" hidden="1"/>
    </xf>
    <xf numFmtId="0" fontId="0" fillId="6" borderId="9" xfId="0" applyFill="1" applyBorder="1" applyAlignment="1" applyProtection="1">
      <alignment horizontal="center"/>
      <protection locked="0" hidden="1"/>
    </xf>
    <xf numFmtId="0" fontId="0" fillId="6" borderId="9" xfId="0" applyFill="1" applyBorder="1" applyAlignment="1" applyProtection="1">
      <alignment vertical="top"/>
      <protection locked="0" hidden="1"/>
    </xf>
    <xf numFmtId="0" fontId="0" fillId="6" borderId="16" xfId="0" applyFill="1" applyBorder="1" applyAlignment="1" applyProtection="1">
      <alignment vertical="top"/>
      <protection locked="0" hidden="1"/>
    </xf>
    <xf numFmtId="0" fontId="0" fillId="10" borderId="0" xfId="0" applyFill="1" applyAlignment="1" applyProtection="1">
      <alignment horizontal="left"/>
      <protection locked="0" hidden="1"/>
    </xf>
    <xf numFmtId="0" fontId="0" fillId="10" borderId="0" xfId="0" applyFill="1" applyAlignment="1" applyProtection="1">
      <alignment wrapText="1"/>
      <protection locked="0" hidden="1"/>
    </xf>
    <xf numFmtId="0" fontId="0" fillId="6" borderId="20" xfId="0" applyFill="1" applyBorder="1" applyProtection="1">
      <protection locked="0" hidden="1"/>
    </xf>
    <xf numFmtId="0" fontId="0" fillId="7" borderId="0" xfId="0" applyFill="1" applyProtection="1">
      <protection locked="0" hidden="1"/>
    </xf>
    <xf numFmtId="0" fontId="0" fillId="7" borderId="0" xfId="0" applyFill="1" applyAlignment="1" applyProtection="1">
      <alignment horizontal="center"/>
      <protection locked="0" hidden="1"/>
    </xf>
    <xf numFmtId="170" fontId="0" fillId="7" borderId="0" xfId="0" applyNumberFormat="1" applyFill="1" applyProtection="1">
      <protection locked="0" hidden="1"/>
    </xf>
    <xf numFmtId="170" fontId="0" fillId="7" borderId="14" xfId="0" applyNumberFormat="1" applyFill="1" applyBorder="1" applyProtection="1">
      <protection locked="0" hidden="1"/>
    </xf>
    <xf numFmtId="0" fontId="0" fillId="8" borderId="0" xfId="0" applyFill="1" applyProtection="1">
      <protection locked="0" hidden="1"/>
    </xf>
    <xf numFmtId="0" fontId="0" fillId="8" borderId="0" xfId="0" applyFill="1" applyAlignment="1" applyProtection="1">
      <alignment horizontal="center"/>
      <protection locked="0" hidden="1"/>
    </xf>
    <xf numFmtId="170" fontId="0" fillId="8" borderId="0" xfId="0" applyNumberFormat="1" applyFill="1" applyProtection="1">
      <protection locked="0" hidden="1"/>
    </xf>
    <xf numFmtId="170" fontId="0" fillId="8" borderId="14" xfId="0" applyNumberFormat="1" applyFill="1" applyBorder="1" applyProtection="1">
      <protection locked="0" hidden="1"/>
    </xf>
    <xf numFmtId="170" fontId="0" fillId="6" borderId="0" xfId="0" applyNumberFormat="1" applyFill="1" applyProtection="1">
      <protection locked="0" hidden="1"/>
    </xf>
    <xf numFmtId="170" fontId="0" fillId="6" borderId="14" xfId="0" applyNumberFormat="1" applyFill="1" applyBorder="1" applyProtection="1">
      <protection locked="0" hidden="1"/>
    </xf>
    <xf numFmtId="0" fontId="2" fillId="11" borderId="17" xfId="0" applyFont="1" applyFill="1" applyBorder="1" applyAlignment="1" applyProtection="1">
      <alignment wrapText="1"/>
      <protection locked="0" hidden="1"/>
    </xf>
    <xf numFmtId="0" fontId="2" fillId="11" borderId="18" xfId="0" applyFont="1" applyFill="1" applyBorder="1" applyAlignment="1" applyProtection="1">
      <alignment wrapText="1"/>
      <protection locked="0" hidden="1"/>
    </xf>
    <xf numFmtId="0" fontId="2" fillId="11" borderId="18" xfId="0" applyFont="1" applyFill="1" applyBorder="1" applyAlignment="1" applyProtection="1">
      <alignment horizontal="left" wrapText="1"/>
      <protection locked="0" hidden="1"/>
    </xf>
    <xf numFmtId="0" fontId="2" fillId="11" borderId="18" xfId="0" applyFont="1" applyFill="1" applyBorder="1" applyAlignment="1" applyProtection="1">
      <alignment horizontal="right" wrapText="1"/>
      <protection locked="0" hidden="1"/>
    </xf>
    <xf numFmtId="0" fontId="2" fillId="11" borderId="19" xfId="0" applyFont="1" applyFill="1" applyBorder="1" applyAlignment="1" applyProtection="1">
      <alignment horizontal="right" wrapText="1"/>
      <protection locked="0" hidden="1"/>
    </xf>
    <xf numFmtId="0" fontId="34" fillId="9" borderId="11" xfId="0" applyFont="1" applyFill="1" applyBorder="1" applyAlignment="1" applyProtection="1">
      <alignment horizontal="center" vertical="center" wrapText="1"/>
      <protection locked="0" hidden="1"/>
    </xf>
    <xf numFmtId="0" fontId="34" fillId="9" borderId="2" xfId="0" applyFont="1" applyFill="1" applyBorder="1" applyAlignment="1" applyProtection="1">
      <alignment horizontal="center" vertical="center" wrapText="1"/>
      <protection locked="0" hidden="1"/>
    </xf>
    <xf numFmtId="0" fontId="34" fillId="9" borderId="12" xfId="0" applyFont="1" applyFill="1" applyBorder="1" applyAlignment="1" applyProtection="1">
      <alignment horizontal="center" vertical="center" wrapText="1"/>
      <protection locked="0" hidden="1"/>
    </xf>
    <xf numFmtId="0" fontId="34" fillId="9" borderId="13" xfId="0" applyFont="1" applyFill="1" applyBorder="1" applyAlignment="1" applyProtection="1">
      <alignment horizontal="center" vertical="center" wrapText="1"/>
      <protection locked="0" hidden="1"/>
    </xf>
    <xf numFmtId="0" fontId="34" fillId="9" borderId="0" xfId="0" applyFont="1" applyFill="1" applyAlignment="1" applyProtection="1">
      <alignment horizontal="center" vertical="center" wrapText="1"/>
      <protection locked="0" hidden="1"/>
    </xf>
    <xf numFmtId="0" fontId="34" fillId="9" borderId="14" xfId="0" applyFont="1" applyFill="1" applyBorder="1" applyAlignment="1" applyProtection="1">
      <alignment horizontal="center" vertical="center" wrapText="1"/>
      <protection locked="0" hidden="1"/>
    </xf>
    <xf numFmtId="0" fontId="34" fillId="9" borderId="25" xfId="0" applyFont="1" applyFill="1" applyBorder="1" applyAlignment="1" applyProtection="1">
      <alignment horizontal="center" vertical="center" wrapText="1"/>
      <protection locked="0" hidden="1"/>
    </xf>
    <xf numFmtId="0" fontId="34" fillId="9" borderId="1" xfId="0" applyFont="1" applyFill="1" applyBorder="1" applyAlignment="1" applyProtection="1">
      <alignment horizontal="center" vertical="center" wrapText="1"/>
      <protection locked="0" hidden="1"/>
    </xf>
    <xf numFmtId="0" fontId="34" fillId="9" borderId="21" xfId="0" applyFont="1" applyFill="1" applyBorder="1" applyAlignment="1" applyProtection="1">
      <alignment horizontal="center" vertical="center" wrapText="1"/>
      <protection locked="0" hidden="1"/>
    </xf>
    <xf numFmtId="49" fontId="0" fillId="6" borderId="23" xfId="0" applyNumberFormat="1" applyFill="1" applyBorder="1" applyAlignment="1" applyProtection="1">
      <alignment horizontal="left" vertical="top" wrapText="1"/>
      <protection locked="0" hidden="1"/>
    </xf>
    <xf numFmtId="49" fontId="0" fillId="6" borderId="10" xfId="0" applyNumberFormat="1" applyFill="1" applyBorder="1" applyAlignment="1" applyProtection="1">
      <alignment horizontal="left" vertical="top" wrapText="1"/>
      <protection locked="0" hidden="1"/>
    </xf>
    <xf numFmtId="49" fontId="0" fillId="6" borderId="24" xfId="0" applyNumberFormat="1" applyFill="1" applyBorder="1" applyAlignment="1" applyProtection="1">
      <alignment horizontal="left" vertical="top" wrapText="1"/>
      <protection locked="0" hidden="1"/>
    </xf>
    <xf numFmtId="49" fontId="0" fillId="6" borderId="13" xfId="0" applyNumberFormat="1" applyFill="1" applyBorder="1" applyAlignment="1" applyProtection="1">
      <alignment horizontal="left" vertical="top" wrapText="1"/>
      <protection locked="0" hidden="1"/>
    </xf>
    <xf numFmtId="49" fontId="0" fillId="6" borderId="0" xfId="0" applyNumberFormat="1" applyFill="1" applyAlignment="1" applyProtection="1">
      <alignment horizontal="left" vertical="top" wrapText="1"/>
      <protection locked="0" hidden="1"/>
    </xf>
    <xf numFmtId="49" fontId="0" fillId="6" borderId="14" xfId="0" applyNumberFormat="1" applyFill="1" applyBorder="1" applyAlignment="1" applyProtection="1">
      <alignment horizontal="left" vertical="top" wrapText="1"/>
      <protection locked="0" hidden="1"/>
    </xf>
    <xf numFmtId="0" fontId="0" fillId="6" borderId="9" xfId="0" applyFill="1" applyBorder="1" applyAlignment="1" applyProtection="1">
      <alignment horizontal="center" vertical="top" wrapText="1"/>
      <protection locked="0" hidden="1"/>
    </xf>
    <xf numFmtId="0" fontId="0" fillId="6" borderId="16" xfId="0" applyFill="1" applyBorder="1" applyAlignment="1" applyProtection="1">
      <alignment horizontal="center" vertical="top" wrapText="1"/>
      <protection locked="0" hidden="1"/>
    </xf>
    <xf numFmtId="0" fontId="0" fillId="6" borderId="13" xfId="0" applyFill="1" applyBorder="1" applyAlignment="1" applyProtection="1">
      <alignment horizontal="left" vertical="top" wrapText="1"/>
      <protection locked="0" hidden="1"/>
    </xf>
    <xf numFmtId="0" fontId="0" fillId="6" borderId="0" xfId="0" applyFill="1" applyAlignment="1" applyProtection="1">
      <alignment horizontal="left" vertical="top" wrapText="1"/>
      <protection locked="0" hidden="1"/>
    </xf>
    <xf numFmtId="0" fontId="0" fillId="6" borderId="14" xfId="0" applyFill="1" applyBorder="1" applyAlignment="1" applyProtection="1">
      <alignment horizontal="left" vertical="top" wrapText="1"/>
      <protection locked="0" hidden="1"/>
    </xf>
    <xf numFmtId="0" fontId="0" fillId="6" borderId="13" xfId="0" applyFill="1" applyBorder="1" applyAlignment="1" applyProtection="1">
      <alignment horizontal="left" vertical="center" wrapText="1"/>
      <protection locked="0" hidden="1"/>
    </xf>
    <xf numFmtId="0" fontId="0" fillId="6" borderId="0" xfId="0" applyFill="1" applyAlignment="1" applyProtection="1">
      <alignment horizontal="left" vertical="center" wrapText="1"/>
      <protection locked="0" hidden="1"/>
    </xf>
    <xf numFmtId="0" fontId="0" fillId="6" borderId="14" xfId="0" applyFill="1" applyBorder="1" applyAlignment="1" applyProtection="1">
      <alignment horizontal="left" vertical="center" wrapText="1"/>
      <protection locked="0" hidden="1"/>
    </xf>
    <xf numFmtId="0" fontId="0" fillId="6" borderId="15" xfId="0" applyFill="1" applyBorder="1" applyAlignment="1" applyProtection="1">
      <alignment horizontal="left" vertical="center" wrapText="1"/>
      <protection locked="0" hidden="1"/>
    </xf>
    <xf numFmtId="0" fontId="0" fillId="6" borderId="9" xfId="0" applyFill="1" applyBorder="1" applyAlignment="1" applyProtection="1">
      <alignment horizontal="left" vertical="center" wrapText="1"/>
      <protection locked="0" hidden="1"/>
    </xf>
    <xf numFmtId="0" fontId="0" fillId="6" borderId="16" xfId="0" applyFill="1" applyBorder="1" applyAlignment="1" applyProtection="1">
      <alignment horizontal="left" vertical="center" wrapText="1"/>
      <protection locked="0" hidden="1"/>
    </xf>
    <xf numFmtId="0" fontId="5" fillId="11" borderId="5" xfId="0" applyFont="1" applyFill="1" applyBorder="1" applyAlignment="1" applyProtection="1">
      <alignment horizontal="center"/>
      <protection locked="0" hidden="1"/>
    </xf>
    <xf numFmtId="0" fontId="5" fillId="11" borderId="3" xfId="0" applyFont="1" applyFill="1" applyBorder="1" applyAlignment="1" applyProtection="1">
      <alignment horizontal="center"/>
      <protection locked="0" hidden="1"/>
    </xf>
    <xf numFmtId="0" fontId="5" fillId="11" borderId="6" xfId="0" applyFont="1" applyFill="1" applyBorder="1" applyAlignment="1" applyProtection="1">
      <alignment horizontal="center"/>
      <protection locked="0" hidden="1"/>
    </xf>
    <xf numFmtId="14" fontId="5" fillId="11" borderId="5" xfId="0" applyNumberFormat="1" applyFont="1" applyFill="1" applyBorder="1" applyAlignment="1" applyProtection="1">
      <alignment horizontal="center"/>
      <protection locked="0" hidden="1"/>
    </xf>
    <xf numFmtId="14" fontId="5" fillId="11" borderId="3" xfId="0" applyNumberFormat="1" applyFont="1" applyFill="1" applyBorder="1" applyAlignment="1" applyProtection="1">
      <alignment horizontal="center"/>
      <protection locked="0" hidden="1"/>
    </xf>
    <xf numFmtId="14" fontId="5" fillId="11" borderId="6" xfId="0" applyNumberFormat="1" applyFont="1" applyFill="1" applyBorder="1" applyAlignment="1" applyProtection="1">
      <alignment horizontal="center"/>
      <protection locked="0" hidden="1"/>
    </xf>
  </cellXfs>
  <cellStyles count="8">
    <cellStyle name="Comma" xfId="1" builtinId="3"/>
    <cellStyle name="Comma 2" xfId="7"/>
    <cellStyle name="Normal" xfId="0" builtinId="0"/>
    <cellStyle name="Normal 5" xfId="5"/>
    <cellStyle name="Normal_costs" xfId="6"/>
    <cellStyle name="Normal_Forest Valuation Template (10JAN2001)" xfId="3"/>
    <cellStyle name="Percent" xfId="2" builtinId="5"/>
    <cellStyle name="Percent 2" xfId="4"/>
  </cellStyles>
  <dxfs count="3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3259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Total</a:t>
            </a:r>
            <a:r>
              <a:rPr lang="en-US" b="1" baseline="0">
                <a:solidFill>
                  <a:schemeClr val="tx1"/>
                </a:solidFill>
              </a:rPr>
              <a:t> recoverable volume</a:t>
            </a:r>
            <a:r>
              <a:rPr lang="en-US" b="1">
                <a:solidFill>
                  <a:schemeClr val="tx1"/>
                </a:solidFill>
              </a:rPr>
              <a:t>@TDH</a:t>
            </a:r>
          </a:p>
        </c:rich>
      </c:tx>
      <c:layout>
        <c:manualLayout>
          <c:xMode val="edge"/>
          <c:yMode val="edge"/>
          <c:x val="0.29656530862157116"/>
          <c:y val="4.440701797245148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9790905735775098E-2"/>
          <c:y val="0.17171296296296296"/>
          <c:w val="0.87965358150201978"/>
          <c:h val="0.646222204532315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Cashflow_TDH!$B$8</c:f>
              <c:strCache>
                <c:ptCount val="1"/>
                <c:pt idx="0">
                  <c:v>Pruned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Cashflow_TDH!$E$4:$Y$4</c:f>
              <c:strCache>
                <c:ptCount val="21"/>
                <c:pt idx="0">
                  <c:v> 25 </c:v>
                </c:pt>
                <c:pt idx="1">
                  <c:v> 26 </c:v>
                </c:pt>
                <c:pt idx="2">
                  <c:v> 27 </c:v>
                </c:pt>
                <c:pt idx="3">
                  <c:v> 28 </c:v>
                </c:pt>
                <c:pt idx="4">
                  <c:v> 29 </c:v>
                </c:pt>
                <c:pt idx="5">
                  <c:v> 30 </c:v>
                </c:pt>
                <c:pt idx="6">
                  <c:v> 31 </c:v>
                </c:pt>
                <c:pt idx="7">
                  <c:v> 32 </c:v>
                </c:pt>
                <c:pt idx="8">
                  <c:v> 33 </c:v>
                </c:pt>
                <c:pt idx="9">
                  <c:v> 34 </c:v>
                </c:pt>
                <c:pt idx="10">
                  <c:v> 35 </c:v>
                </c:pt>
                <c:pt idx="11">
                  <c:v> 36 </c:v>
                </c:pt>
                <c:pt idx="12">
                  <c:v> 37 </c:v>
                </c:pt>
                <c:pt idx="13">
                  <c:v> 38 </c:v>
                </c:pt>
                <c:pt idx="14">
                  <c:v> 39 </c:v>
                </c:pt>
                <c:pt idx="15">
                  <c:v> 40 </c:v>
                </c:pt>
                <c:pt idx="16">
                  <c:v> 41 </c:v>
                </c:pt>
                <c:pt idx="17">
                  <c:v> 42 </c:v>
                </c:pt>
                <c:pt idx="18">
                  <c:v> 43 </c:v>
                </c:pt>
                <c:pt idx="19">
                  <c:v> 44 </c:v>
                </c:pt>
                <c:pt idx="20">
                  <c:v>residuals</c:v>
                </c:pt>
              </c:strCache>
            </c:strRef>
          </c:cat>
          <c:val>
            <c:numRef>
              <c:f>Cashflow_TDH!$E$8:$Y$8</c:f>
              <c:numCache>
                <c:formatCode>_-* #,##0.0_-;\-* #,##0.0_-;_-* "-"??_-;_-@_-</c:formatCode>
                <c:ptCount val="21"/>
                <c:pt idx="0">
                  <c:v>49.091145833333336</c:v>
                </c:pt>
                <c:pt idx="1">
                  <c:v>0</c:v>
                </c:pt>
                <c:pt idx="2">
                  <c:v>0</c:v>
                </c:pt>
                <c:pt idx="3">
                  <c:v>26.590335000000003</c:v>
                </c:pt>
                <c:pt idx="4">
                  <c:v>0</c:v>
                </c:pt>
                <c:pt idx="5">
                  <c:v>0</c:v>
                </c:pt>
                <c:pt idx="6">
                  <c:v>32.137887499999991</c:v>
                </c:pt>
                <c:pt idx="7">
                  <c:v>0</c:v>
                </c:pt>
                <c:pt idx="8">
                  <c:v>0</c:v>
                </c:pt>
                <c:pt idx="9">
                  <c:v>28.005298611111112</c:v>
                </c:pt>
                <c:pt idx="10">
                  <c:v>0</c:v>
                </c:pt>
                <c:pt idx="11">
                  <c:v>0</c:v>
                </c:pt>
                <c:pt idx="12">
                  <c:v>10.952491666666669</c:v>
                </c:pt>
                <c:pt idx="13">
                  <c:v>0</c:v>
                </c:pt>
                <c:pt idx="14">
                  <c:v>0</c:v>
                </c:pt>
                <c:pt idx="15">
                  <c:v>9.0670138888888889</c:v>
                </c:pt>
                <c:pt idx="16">
                  <c:v>0</c:v>
                </c:pt>
                <c:pt idx="17">
                  <c:v>0</c:v>
                </c:pt>
                <c:pt idx="18">
                  <c:v>13.31005388888889</c:v>
                </c:pt>
                <c:pt idx="19">
                  <c:v>0</c:v>
                </c:pt>
                <c:pt idx="20">
                  <c:v>76.555683458333348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EB-4BBD-B6A2-19D878A8B78F}"/>
            </c:ext>
          </c:extLst>
        </c:ser>
        <c:ser>
          <c:idx val="1"/>
          <c:order val="1"/>
          <c:tx>
            <c:strRef>
              <c:f>Cashflow_TDH!$B$9</c:f>
              <c:strCache>
                <c:ptCount val="1"/>
                <c:pt idx="0">
                  <c:v>AO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Cashflow_TDH!$E$4:$Y$4</c:f>
              <c:strCache>
                <c:ptCount val="21"/>
                <c:pt idx="0">
                  <c:v> 25 </c:v>
                </c:pt>
                <c:pt idx="1">
                  <c:v> 26 </c:v>
                </c:pt>
                <c:pt idx="2">
                  <c:v> 27 </c:v>
                </c:pt>
                <c:pt idx="3">
                  <c:v> 28 </c:v>
                </c:pt>
                <c:pt idx="4">
                  <c:v> 29 </c:v>
                </c:pt>
                <c:pt idx="5">
                  <c:v> 30 </c:v>
                </c:pt>
                <c:pt idx="6">
                  <c:v> 31 </c:v>
                </c:pt>
                <c:pt idx="7">
                  <c:v> 32 </c:v>
                </c:pt>
                <c:pt idx="8">
                  <c:v> 33 </c:v>
                </c:pt>
                <c:pt idx="9">
                  <c:v> 34 </c:v>
                </c:pt>
                <c:pt idx="10">
                  <c:v> 35 </c:v>
                </c:pt>
                <c:pt idx="11">
                  <c:v> 36 </c:v>
                </c:pt>
                <c:pt idx="12">
                  <c:v> 37 </c:v>
                </c:pt>
                <c:pt idx="13">
                  <c:v> 38 </c:v>
                </c:pt>
                <c:pt idx="14">
                  <c:v> 39 </c:v>
                </c:pt>
                <c:pt idx="15">
                  <c:v> 40 </c:v>
                </c:pt>
                <c:pt idx="16">
                  <c:v> 41 </c:v>
                </c:pt>
                <c:pt idx="17">
                  <c:v> 42 </c:v>
                </c:pt>
                <c:pt idx="18">
                  <c:v> 43 </c:v>
                </c:pt>
                <c:pt idx="19">
                  <c:v> 44 </c:v>
                </c:pt>
                <c:pt idx="20">
                  <c:v>residuals</c:v>
                </c:pt>
              </c:strCache>
            </c:strRef>
          </c:cat>
          <c:val>
            <c:numRef>
              <c:f>Cashflow_TDH!$E$9:$Y$9</c:f>
              <c:numCache>
                <c:formatCode>_-* #,##0.0_-;\-* #,##0.0_-;_-* "-"??_-;_-@_-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EB-4BBD-B6A2-19D878A8B78F}"/>
            </c:ext>
          </c:extLst>
        </c:ser>
        <c:ser>
          <c:idx val="2"/>
          <c:order val="2"/>
          <c:tx>
            <c:strRef>
              <c:f>Cashflow_TDH!$B$10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Cashflow_TDH!$E$4:$Y$4</c:f>
              <c:strCache>
                <c:ptCount val="21"/>
                <c:pt idx="0">
                  <c:v> 25 </c:v>
                </c:pt>
                <c:pt idx="1">
                  <c:v> 26 </c:v>
                </c:pt>
                <c:pt idx="2">
                  <c:v> 27 </c:v>
                </c:pt>
                <c:pt idx="3">
                  <c:v> 28 </c:v>
                </c:pt>
                <c:pt idx="4">
                  <c:v> 29 </c:v>
                </c:pt>
                <c:pt idx="5">
                  <c:v> 30 </c:v>
                </c:pt>
                <c:pt idx="6">
                  <c:v> 31 </c:v>
                </c:pt>
                <c:pt idx="7">
                  <c:v> 32 </c:v>
                </c:pt>
                <c:pt idx="8">
                  <c:v> 33 </c:v>
                </c:pt>
                <c:pt idx="9">
                  <c:v> 34 </c:v>
                </c:pt>
                <c:pt idx="10">
                  <c:v> 35 </c:v>
                </c:pt>
                <c:pt idx="11">
                  <c:v> 36 </c:v>
                </c:pt>
                <c:pt idx="12">
                  <c:v> 37 </c:v>
                </c:pt>
                <c:pt idx="13">
                  <c:v> 38 </c:v>
                </c:pt>
                <c:pt idx="14">
                  <c:v> 39 </c:v>
                </c:pt>
                <c:pt idx="15">
                  <c:v> 40 </c:v>
                </c:pt>
                <c:pt idx="16">
                  <c:v> 41 </c:v>
                </c:pt>
                <c:pt idx="17">
                  <c:v> 42 </c:v>
                </c:pt>
                <c:pt idx="18">
                  <c:v> 43 </c:v>
                </c:pt>
                <c:pt idx="19">
                  <c:v> 44 </c:v>
                </c:pt>
                <c:pt idx="20">
                  <c:v>residuals</c:v>
                </c:pt>
              </c:strCache>
            </c:strRef>
          </c:cat>
          <c:val>
            <c:numRef>
              <c:f>Cashflow_TDH!$E$10:$Y$10</c:f>
              <c:numCache>
                <c:formatCode>_-* #,##0.0_-;\-* #,##0.0_-;_-* "-"??_-;_-@_-</c:formatCode>
                <c:ptCount val="21"/>
                <c:pt idx="0">
                  <c:v>42.670590833333335</c:v>
                </c:pt>
                <c:pt idx="1">
                  <c:v>0</c:v>
                </c:pt>
                <c:pt idx="2">
                  <c:v>0</c:v>
                </c:pt>
                <c:pt idx="3">
                  <c:v>30.763100555555553</c:v>
                </c:pt>
                <c:pt idx="4">
                  <c:v>0</c:v>
                </c:pt>
                <c:pt idx="5">
                  <c:v>0</c:v>
                </c:pt>
                <c:pt idx="6">
                  <c:v>25.080454722222225</c:v>
                </c:pt>
                <c:pt idx="7">
                  <c:v>0</c:v>
                </c:pt>
                <c:pt idx="8">
                  <c:v>0</c:v>
                </c:pt>
                <c:pt idx="9">
                  <c:v>28.511386388888887</c:v>
                </c:pt>
                <c:pt idx="10">
                  <c:v>0</c:v>
                </c:pt>
                <c:pt idx="11">
                  <c:v>0</c:v>
                </c:pt>
                <c:pt idx="12">
                  <c:v>8.2505005555555559</c:v>
                </c:pt>
                <c:pt idx="13">
                  <c:v>0</c:v>
                </c:pt>
                <c:pt idx="14">
                  <c:v>0</c:v>
                </c:pt>
                <c:pt idx="15">
                  <c:v>14.139822222222225</c:v>
                </c:pt>
                <c:pt idx="16">
                  <c:v>0</c:v>
                </c:pt>
                <c:pt idx="17">
                  <c:v>0</c:v>
                </c:pt>
                <c:pt idx="18">
                  <c:v>14.62140611111111</c:v>
                </c:pt>
                <c:pt idx="19">
                  <c:v>0</c:v>
                </c:pt>
                <c:pt idx="20">
                  <c:v>109.47063808333334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EB-4BBD-B6A2-19D878A8B78F}"/>
            </c:ext>
          </c:extLst>
        </c:ser>
        <c:ser>
          <c:idx val="3"/>
          <c:order val="3"/>
          <c:tx>
            <c:strRef>
              <c:f>Cashflow_TDH!$B$11</c:f>
              <c:strCache>
                <c:ptCount val="1"/>
                <c:pt idx="0">
                  <c:v>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Cashflow_TDH!$E$4:$Y$4</c:f>
              <c:strCache>
                <c:ptCount val="21"/>
                <c:pt idx="0">
                  <c:v> 25 </c:v>
                </c:pt>
                <c:pt idx="1">
                  <c:v> 26 </c:v>
                </c:pt>
                <c:pt idx="2">
                  <c:v> 27 </c:v>
                </c:pt>
                <c:pt idx="3">
                  <c:v> 28 </c:v>
                </c:pt>
                <c:pt idx="4">
                  <c:v> 29 </c:v>
                </c:pt>
                <c:pt idx="5">
                  <c:v> 30 </c:v>
                </c:pt>
                <c:pt idx="6">
                  <c:v> 31 </c:v>
                </c:pt>
                <c:pt idx="7">
                  <c:v> 32 </c:v>
                </c:pt>
                <c:pt idx="8">
                  <c:v> 33 </c:v>
                </c:pt>
                <c:pt idx="9">
                  <c:v> 34 </c:v>
                </c:pt>
                <c:pt idx="10">
                  <c:v> 35 </c:v>
                </c:pt>
                <c:pt idx="11">
                  <c:v> 36 </c:v>
                </c:pt>
                <c:pt idx="12">
                  <c:v> 37 </c:v>
                </c:pt>
                <c:pt idx="13">
                  <c:v> 38 </c:v>
                </c:pt>
                <c:pt idx="14">
                  <c:v> 39 </c:v>
                </c:pt>
                <c:pt idx="15">
                  <c:v> 40 </c:v>
                </c:pt>
                <c:pt idx="16">
                  <c:v> 41 </c:v>
                </c:pt>
                <c:pt idx="17">
                  <c:v> 42 </c:v>
                </c:pt>
                <c:pt idx="18">
                  <c:v> 43 </c:v>
                </c:pt>
                <c:pt idx="19">
                  <c:v> 44 </c:v>
                </c:pt>
                <c:pt idx="20">
                  <c:v>residuals</c:v>
                </c:pt>
              </c:strCache>
            </c:strRef>
          </c:cat>
          <c:val>
            <c:numRef>
              <c:f>Cashflow_TDH!$E$11:$Y$11</c:f>
              <c:numCache>
                <c:formatCode>_-* #,##0.0_-;\-* #,##0.0_-;_-* "-"??_-;_-@_-</c:formatCode>
                <c:ptCount val="21"/>
                <c:pt idx="0">
                  <c:v>3.5507919444444438</c:v>
                </c:pt>
                <c:pt idx="1">
                  <c:v>0</c:v>
                </c:pt>
                <c:pt idx="2">
                  <c:v>0</c:v>
                </c:pt>
                <c:pt idx="3">
                  <c:v>4.7941705555555565</c:v>
                </c:pt>
                <c:pt idx="4">
                  <c:v>0</c:v>
                </c:pt>
                <c:pt idx="5">
                  <c:v>0</c:v>
                </c:pt>
                <c:pt idx="6">
                  <c:v>2.4808447222222223</c:v>
                </c:pt>
                <c:pt idx="7">
                  <c:v>0</c:v>
                </c:pt>
                <c:pt idx="8">
                  <c:v>0</c:v>
                </c:pt>
                <c:pt idx="9">
                  <c:v>4.083473333333334</c:v>
                </c:pt>
                <c:pt idx="10">
                  <c:v>0</c:v>
                </c:pt>
                <c:pt idx="11">
                  <c:v>0</c:v>
                </c:pt>
                <c:pt idx="12">
                  <c:v>0.59547444444444442</c:v>
                </c:pt>
                <c:pt idx="13">
                  <c:v>0</c:v>
                </c:pt>
                <c:pt idx="14">
                  <c:v>0</c:v>
                </c:pt>
                <c:pt idx="15">
                  <c:v>7.5662716666666663</c:v>
                </c:pt>
                <c:pt idx="16">
                  <c:v>0</c:v>
                </c:pt>
                <c:pt idx="17">
                  <c:v>0</c:v>
                </c:pt>
                <c:pt idx="18">
                  <c:v>2.0240347222222224</c:v>
                </c:pt>
                <c:pt idx="19">
                  <c:v>0</c:v>
                </c:pt>
                <c:pt idx="20">
                  <c:v>59.116103083333321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EB-4BBD-B6A2-19D878A8B78F}"/>
            </c:ext>
          </c:extLst>
        </c:ser>
        <c:ser>
          <c:idx val="4"/>
          <c:order val="4"/>
          <c:tx>
            <c:strRef>
              <c:f>Cashflow_TDH!$B$12</c:f>
              <c:strCache>
                <c:ptCount val="1"/>
                <c:pt idx="0">
                  <c:v>KI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Cashflow_TDH!$E$4:$Y$4</c:f>
              <c:strCache>
                <c:ptCount val="21"/>
                <c:pt idx="0">
                  <c:v> 25 </c:v>
                </c:pt>
                <c:pt idx="1">
                  <c:v> 26 </c:v>
                </c:pt>
                <c:pt idx="2">
                  <c:v> 27 </c:v>
                </c:pt>
                <c:pt idx="3">
                  <c:v> 28 </c:v>
                </c:pt>
                <c:pt idx="4">
                  <c:v> 29 </c:v>
                </c:pt>
                <c:pt idx="5">
                  <c:v> 30 </c:v>
                </c:pt>
                <c:pt idx="6">
                  <c:v> 31 </c:v>
                </c:pt>
                <c:pt idx="7">
                  <c:v> 32 </c:v>
                </c:pt>
                <c:pt idx="8">
                  <c:v> 33 </c:v>
                </c:pt>
                <c:pt idx="9">
                  <c:v> 34 </c:v>
                </c:pt>
                <c:pt idx="10">
                  <c:v> 35 </c:v>
                </c:pt>
                <c:pt idx="11">
                  <c:v> 36 </c:v>
                </c:pt>
                <c:pt idx="12">
                  <c:v> 37 </c:v>
                </c:pt>
                <c:pt idx="13">
                  <c:v> 38 </c:v>
                </c:pt>
                <c:pt idx="14">
                  <c:v> 39 </c:v>
                </c:pt>
                <c:pt idx="15">
                  <c:v> 40 </c:v>
                </c:pt>
                <c:pt idx="16">
                  <c:v> 41 </c:v>
                </c:pt>
                <c:pt idx="17">
                  <c:v> 42 </c:v>
                </c:pt>
                <c:pt idx="18">
                  <c:v> 43 </c:v>
                </c:pt>
                <c:pt idx="19">
                  <c:v> 44 </c:v>
                </c:pt>
                <c:pt idx="20">
                  <c:v>residuals</c:v>
                </c:pt>
              </c:strCache>
            </c:strRef>
          </c:cat>
          <c:val>
            <c:numRef>
              <c:f>Cashflow_TDH!$E$12:$Y$12</c:f>
              <c:numCache>
                <c:formatCode>_-* #,##0.0_-;\-* #,##0.0_-;_-* "-"??_-;_-@_-</c:formatCode>
                <c:ptCount val="21"/>
                <c:pt idx="0">
                  <c:v>43.188222777777781</c:v>
                </c:pt>
                <c:pt idx="1">
                  <c:v>0</c:v>
                </c:pt>
                <c:pt idx="2">
                  <c:v>0</c:v>
                </c:pt>
                <c:pt idx="3">
                  <c:v>26.421186111111108</c:v>
                </c:pt>
                <c:pt idx="4">
                  <c:v>0</c:v>
                </c:pt>
                <c:pt idx="5">
                  <c:v>0</c:v>
                </c:pt>
                <c:pt idx="6">
                  <c:v>25.286400555555559</c:v>
                </c:pt>
                <c:pt idx="7">
                  <c:v>0</c:v>
                </c:pt>
                <c:pt idx="8">
                  <c:v>0</c:v>
                </c:pt>
                <c:pt idx="9">
                  <c:v>12.555425833333334</c:v>
                </c:pt>
                <c:pt idx="10">
                  <c:v>0</c:v>
                </c:pt>
                <c:pt idx="11">
                  <c:v>0</c:v>
                </c:pt>
                <c:pt idx="12">
                  <c:v>12.80092138888889</c:v>
                </c:pt>
                <c:pt idx="13">
                  <c:v>0</c:v>
                </c:pt>
                <c:pt idx="14">
                  <c:v>0</c:v>
                </c:pt>
                <c:pt idx="15">
                  <c:v>8.2775877777777787</c:v>
                </c:pt>
                <c:pt idx="16">
                  <c:v>0</c:v>
                </c:pt>
                <c:pt idx="17">
                  <c:v>0</c:v>
                </c:pt>
                <c:pt idx="18">
                  <c:v>10.451150277777778</c:v>
                </c:pt>
                <c:pt idx="19">
                  <c:v>0</c:v>
                </c:pt>
                <c:pt idx="20">
                  <c:v>86.483344791666653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4EB-4BBD-B6A2-19D878A8B78F}"/>
            </c:ext>
          </c:extLst>
        </c:ser>
        <c:ser>
          <c:idx val="5"/>
          <c:order val="5"/>
          <c:tx>
            <c:strRef>
              <c:f>Cashflow_TDH!$B$13</c:f>
              <c:strCache>
                <c:ptCount val="1"/>
                <c:pt idx="0">
                  <c:v>KIS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Cashflow_TDH!$E$4:$Y$4</c:f>
              <c:strCache>
                <c:ptCount val="21"/>
                <c:pt idx="0">
                  <c:v> 25 </c:v>
                </c:pt>
                <c:pt idx="1">
                  <c:v> 26 </c:v>
                </c:pt>
                <c:pt idx="2">
                  <c:v> 27 </c:v>
                </c:pt>
                <c:pt idx="3">
                  <c:v> 28 </c:v>
                </c:pt>
                <c:pt idx="4">
                  <c:v> 29 </c:v>
                </c:pt>
                <c:pt idx="5">
                  <c:v> 30 </c:v>
                </c:pt>
                <c:pt idx="6">
                  <c:v> 31 </c:v>
                </c:pt>
                <c:pt idx="7">
                  <c:v> 32 </c:v>
                </c:pt>
                <c:pt idx="8">
                  <c:v> 33 </c:v>
                </c:pt>
                <c:pt idx="9">
                  <c:v> 34 </c:v>
                </c:pt>
                <c:pt idx="10">
                  <c:v> 35 </c:v>
                </c:pt>
                <c:pt idx="11">
                  <c:v> 36 </c:v>
                </c:pt>
                <c:pt idx="12">
                  <c:v> 37 </c:v>
                </c:pt>
                <c:pt idx="13">
                  <c:v> 38 </c:v>
                </c:pt>
                <c:pt idx="14">
                  <c:v> 39 </c:v>
                </c:pt>
                <c:pt idx="15">
                  <c:v> 40 </c:v>
                </c:pt>
                <c:pt idx="16">
                  <c:v> 41 </c:v>
                </c:pt>
                <c:pt idx="17">
                  <c:v> 42 </c:v>
                </c:pt>
                <c:pt idx="18">
                  <c:v> 43 </c:v>
                </c:pt>
                <c:pt idx="19">
                  <c:v> 44 </c:v>
                </c:pt>
                <c:pt idx="20">
                  <c:v>residuals</c:v>
                </c:pt>
              </c:strCache>
            </c:strRef>
          </c:cat>
          <c:val>
            <c:numRef>
              <c:f>Cashflow_TDH!$E$13:$Y$13</c:f>
              <c:numCache>
                <c:formatCode>_-* #,##0.0_-;\-* #,##0.0_-;_-* "-"??_-;_-@_-</c:formatCode>
                <c:ptCount val="21"/>
                <c:pt idx="0">
                  <c:v>3.4730250000000003</c:v>
                </c:pt>
                <c:pt idx="1">
                  <c:v>0</c:v>
                </c:pt>
                <c:pt idx="2">
                  <c:v>0</c:v>
                </c:pt>
                <c:pt idx="3">
                  <c:v>2.403431388888889</c:v>
                </c:pt>
                <c:pt idx="4">
                  <c:v>0</c:v>
                </c:pt>
                <c:pt idx="5">
                  <c:v>0</c:v>
                </c:pt>
                <c:pt idx="6">
                  <c:v>5.4703213888888893</c:v>
                </c:pt>
                <c:pt idx="7">
                  <c:v>0</c:v>
                </c:pt>
                <c:pt idx="8">
                  <c:v>0</c:v>
                </c:pt>
                <c:pt idx="9">
                  <c:v>1.1284924999999999</c:v>
                </c:pt>
                <c:pt idx="10">
                  <c:v>0</c:v>
                </c:pt>
                <c:pt idx="11">
                  <c:v>0</c:v>
                </c:pt>
                <c:pt idx="12">
                  <c:v>0.40199638888888894</c:v>
                </c:pt>
                <c:pt idx="13">
                  <c:v>0</c:v>
                </c:pt>
                <c:pt idx="14">
                  <c:v>0</c:v>
                </c:pt>
                <c:pt idx="15">
                  <c:v>1.7826144444444445</c:v>
                </c:pt>
                <c:pt idx="16">
                  <c:v>0</c:v>
                </c:pt>
                <c:pt idx="17">
                  <c:v>0</c:v>
                </c:pt>
                <c:pt idx="18">
                  <c:v>0.86829388888888903</c:v>
                </c:pt>
                <c:pt idx="19">
                  <c:v>0</c:v>
                </c:pt>
                <c:pt idx="20">
                  <c:v>16.585635208333333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4EB-4BBD-B6A2-19D878A8B78F}"/>
            </c:ext>
          </c:extLst>
        </c:ser>
        <c:ser>
          <c:idx val="6"/>
          <c:order val="6"/>
          <c:tx>
            <c:strRef>
              <c:f>Cashflow_TDH!$B$14</c:f>
              <c:strCache>
                <c:ptCount val="1"/>
                <c:pt idx="0">
                  <c:v>Pulp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Cashflow_TDH!$E$4:$Y$4</c:f>
              <c:strCache>
                <c:ptCount val="21"/>
                <c:pt idx="0">
                  <c:v> 25 </c:v>
                </c:pt>
                <c:pt idx="1">
                  <c:v> 26 </c:v>
                </c:pt>
                <c:pt idx="2">
                  <c:v> 27 </c:v>
                </c:pt>
                <c:pt idx="3">
                  <c:v> 28 </c:v>
                </c:pt>
                <c:pt idx="4">
                  <c:v> 29 </c:v>
                </c:pt>
                <c:pt idx="5">
                  <c:v> 30 </c:v>
                </c:pt>
                <c:pt idx="6">
                  <c:v> 31 </c:v>
                </c:pt>
                <c:pt idx="7">
                  <c:v> 32 </c:v>
                </c:pt>
                <c:pt idx="8">
                  <c:v> 33 </c:v>
                </c:pt>
                <c:pt idx="9">
                  <c:v> 34 </c:v>
                </c:pt>
                <c:pt idx="10">
                  <c:v> 35 </c:v>
                </c:pt>
                <c:pt idx="11">
                  <c:v> 36 </c:v>
                </c:pt>
                <c:pt idx="12">
                  <c:v> 37 </c:v>
                </c:pt>
                <c:pt idx="13">
                  <c:v> 38 </c:v>
                </c:pt>
                <c:pt idx="14">
                  <c:v> 39 </c:v>
                </c:pt>
                <c:pt idx="15">
                  <c:v> 40 </c:v>
                </c:pt>
                <c:pt idx="16">
                  <c:v> 41 </c:v>
                </c:pt>
                <c:pt idx="17">
                  <c:v> 42 </c:v>
                </c:pt>
                <c:pt idx="18">
                  <c:v> 43 </c:v>
                </c:pt>
                <c:pt idx="19">
                  <c:v> 44 </c:v>
                </c:pt>
                <c:pt idx="20">
                  <c:v>residuals</c:v>
                </c:pt>
              </c:strCache>
            </c:strRef>
          </c:cat>
          <c:val>
            <c:numRef>
              <c:f>Cashflow_TDH!$E$14:$Y$14</c:f>
              <c:numCache>
                <c:formatCode>_-* #,##0.0_-;\-* #,##0.0_-;_-* "-"??_-;_-@_-</c:formatCode>
                <c:ptCount val="21"/>
                <c:pt idx="0">
                  <c:v>1.3674045833333335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2.3953704722222224</c:v>
                </c:pt>
                <c:pt idx="7">
                  <c:v>0</c:v>
                </c:pt>
                <c:pt idx="8">
                  <c:v>0</c:v>
                </c:pt>
                <c:pt idx="9">
                  <c:v>0.19705294444444443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0.93612000000000006</c:v>
                </c:pt>
                <c:pt idx="16">
                  <c:v>0</c:v>
                </c:pt>
                <c:pt idx="17">
                  <c:v>0</c:v>
                </c:pt>
                <c:pt idx="18">
                  <c:v>1.3108733333333333</c:v>
                </c:pt>
                <c:pt idx="19">
                  <c:v>0</c:v>
                </c:pt>
                <c:pt idx="20">
                  <c:v>9.0820044000000006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4EB-4BBD-B6A2-19D878A8B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09464576"/>
        <c:axId val="108812480"/>
      </c:barChart>
      <c:catAx>
        <c:axId val="109464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>
                    <a:solidFill>
                      <a:sysClr val="windowText" lastClr="000000"/>
                    </a:solidFill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0.49500858360187089"/>
              <c:y val="0.891020603509494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12480"/>
        <c:crosses val="autoZero"/>
        <c:auto val="1"/>
        <c:lblAlgn val="ctr"/>
        <c:lblOffset val="100"/>
        <c:noMultiLvlLbl val="0"/>
      </c:catAx>
      <c:valAx>
        <c:axId val="10881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>
                    <a:solidFill>
                      <a:schemeClr val="tx1"/>
                    </a:solidFill>
                  </a:rPr>
                  <a:t>Voulme</a:t>
                </a:r>
                <a:r>
                  <a:rPr lang="en-NZ" baseline="0">
                    <a:solidFill>
                      <a:schemeClr val="tx1"/>
                    </a:solidFill>
                  </a:rPr>
                  <a:t> </a:t>
                </a:r>
                <a:r>
                  <a:rPr lang="en-NZ">
                    <a:solidFill>
                      <a:schemeClr val="tx1"/>
                    </a:solidFill>
                  </a:rPr>
                  <a:t>(m3/ha)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6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90546960613291"/>
          <c:y val="0.92635945447564616"/>
          <c:w val="0.58310019893868537"/>
          <c:h val="5.75434756459054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NPV vs rotation</a:t>
            </a:r>
            <a:r>
              <a:rPr lang="en-NZ" baseline="0"/>
              <a:t> length</a:t>
            </a:r>
            <a:endParaRPr lang="en-NZ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NPV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Clearfelling!$E$4:$N$4</c:f>
              <c:numCache>
                <c:formatCode>_-* #,##0_-;\-* #,##0_-;_-* "-"??_-;_-@_-</c:formatCode>
                <c:ptCount val="1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</c:numCache>
            </c:numRef>
          </c:cat>
          <c:val>
            <c:numRef>
              <c:f>Clearfelling!$E$59:$N$59</c:f>
              <c:numCache>
                <c:formatCode>_-* #,##0_-;\-* #,##0_-;_-* "-"??_-;_-@_-</c:formatCode>
                <c:ptCount val="10"/>
                <c:pt idx="0">
                  <c:v>35606.916180847802</c:v>
                </c:pt>
                <c:pt idx="1">
                  <c:v>34908.22059507115</c:v>
                </c:pt>
                <c:pt idx="2">
                  <c:v>34014.337619024584</c:v>
                </c:pt>
                <c:pt idx="3">
                  <c:v>33003.506792639411</c:v>
                </c:pt>
                <c:pt idx="4">
                  <c:v>31644.542902619942</c:v>
                </c:pt>
                <c:pt idx="5">
                  <c:v>30431.187628215048</c:v>
                </c:pt>
                <c:pt idx="6">
                  <c:v>29076.029611050733</c:v>
                </c:pt>
                <c:pt idx="7">
                  <c:v>27602.098658811396</c:v>
                </c:pt>
                <c:pt idx="8">
                  <c:v>26127.365648445186</c:v>
                </c:pt>
                <c:pt idx="9">
                  <c:v>24801.340893835728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FA-486D-A3BA-82F48035F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4528"/>
        <c:axId val="109290048"/>
      </c:lineChart>
      <c:catAx>
        <c:axId val="92374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0.45630726116745507"/>
              <c:y val="0.9146072455189228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90048"/>
        <c:crosses val="autoZero"/>
        <c:auto val="1"/>
        <c:lblAlgn val="ctr"/>
        <c:lblOffset val="100"/>
        <c:noMultiLvlLbl val="0"/>
      </c:catAx>
      <c:valAx>
        <c:axId val="10929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NPV($/ha)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7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NZ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NZ" sz="1400" b="1"/>
              <a:t>Total recoveable volume@TDH</a:t>
            </a:r>
            <a:r>
              <a:rPr lang="en-NZ" sz="1400" b="1" baseline="0"/>
              <a:t> with max harvest level</a:t>
            </a:r>
            <a:endParaRPr lang="en-NZ" sz="1400" b="1"/>
          </a:p>
        </c:rich>
      </c:tx>
      <c:layout>
        <c:manualLayout>
          <c:xMode val="edge"/>
          <c:yMode val="edge"/>
          <c:x val="0.18034560163052363"/>
          <c:y val="3.45323741007194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1224676585929185E-2"/>
          <c:y val="0.1691214848143982"/>
          <c:w val="0.88573867298007403"/>
          <c:h val="0.64930589783553871"/>
        </c:manualLayout>
      </c:layout>
      <c:barChart>
        <c:barDir val="col"/>
        <c:grouping val="stacked"/>
        <c:varyColors val="0"/>
        <c:ser>
          <c:idx val="0"/>
          <c:order val="0"/>
          <c:tx>
            <c:v>Pruned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'Harvest Lvl'!$E$4:$Y$4</c:f>
              <c:strCache>
                <c:ptCount val="21"/>
                <c:pt idx="0">
                  <c:v> 25 </c:v>
                </c:pt>
                <c:pt idx="1">
                  <c:v> 26 </c:v>
                </c:pt>
                <c:pt idx="2">
                  <c:v> 27 </c:v>
                </c:pt>
                <c:pt idx="3">
                  <c:v> 28 </c:v>
                </c:pt>
                <c:pt idx="4">
                  <c:v> 29 </c:v>
                </c:pt>
                <c:pt idx="5">
                  <c:v> 30 </c:v>
                </c:pt>
                <c:pt idx="6">
                  <c:v> 31 </c:v>
                </c:pt>
                <c:pt idx="7">
                  <c:v> 32 </c:v>
                </c:pt>
                <c:pt idx="8">
                  <c:v> 33 </c:v>
                </c:pt>
                <c:pt idx="9">
                  <c:v> 34 </c:v>
                </c:pt>
                <c:pt idx="10">
                  <c:v> 35 </c:v>
                </c:pt>
                <c:pt idx="11">
                  <c:v> 36 </c:v>
                </c:pt>
                <c:pt idx="12">
                  <c:v> 37 </c:v>
                </c:pt>
                <c:pt idx="13">
                  <c:v> 38 </c:v>
                </c:pt>
                <c:pt idx="14">
                  <c:v> 39 </c:v>
                </c:pt>
                <c:pt idx="15">
                  <c:v> 40 </c:v>
                </c:pt>
                <c:pt idx="16">
                  <c:v> 41 </c:v>
                </c:pt>
                <c:pt idx="17">
                  <c:v> 42 </c:v>
                </c:pt>
                <c:pt idx="18">
                  <c:v> 43 </c:v>
                </c:pt>
                <c:pt idx="19">
                  <c:v> 44 </c:v>
                </c:pt>
                <c:pt idx="20">
                  <c:v>residuals</c:v>
                </c:pt>
              </c:strCache>
            </c:strRef>
          </c:cat>
          <c:val>
            <c:numRef>
              <c:f>'Harvest Lvl'!$E$8:$Y$8</c:f>
              <c:numCache>
                <c:formatCode>_-* #,##0.0_-;\-* #,##0.0_-;_-* "-"??_-;_-@_-</c:formatCode>
                <c:ptCount val="21"/>
                <c:pt idx="0">
                  <c:v>19.627724705167633</c:v>
                </c:pt>
                <c:pt idx="1">
                  <c:v>0</c:v>
                </c:pt>
                <c:pt idx="2">
                  <c:v>0</c:v>
                </c:pt>
                <c:pt idx="3">
                  <c:v>19.627724705167633</c:v>
                </c:pt>
                <c:pt idx="4">
                  <c:v>0</c:v>
                </c:pt>
                <c:pt idx="5">
                  <c:v>0</c:v>
                </c:pt>
                <c:pt idx="6">
                  <c:v>19.627724705167633</c:v>
                </c:pt>
                <c:pt idx="7">
                  <c:v>0</c:v>
                </c:pt>
                <c:pt idx="8">
                  <c:v>0</c:v>
                </c:pt>
                <c:pt idx="9">
                  <c:v>19.627724705167633</c:v>
                </c:pt>
                <c:pt idx="10">
                  <c:v>0</c:v>
                </c:pt>
                <c:pt idx="11">
                  <c:v>0</c:v>
                </c:pt>
                <c:pt idx="12">
                  <c:v>19.627724705167633</c:v>
                </c:pt>
                <c:pt idx="13">
                  <c:v>0</c:v>
                </c:pt>
                <c:pt idx="14">
                  <c:v>0</c:v>
                </c:pt>
                <c:pt idx="15">
                  <c:v>19.627724705167633</c:v>
                </c:pt>
                <c:pt idx="16">
                  <c:v>0</c:v>
                </c:pt>
                <c:pt idx="17">
                  <c:v>0</c:v>
                </c:pt>
                <c:pt idx="18">
                  <c:v>19.627724705167633</c:v>
                </c:pt>
                <c:pt idx="19">
                  <c:v>0</c:v>
                </c:pt>
                <c:pt idx="20">
                  <c:v>108.31583691104879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7A-4D96-B863-179767D9E641}"/>
            </c:ext>
          </c:extLst>
        </c:ser>
        <c:ser>
          <c:idx val="1"/>
          <c:order val="1"/>
          <c:tx>
            <c:v>AO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'Harvest Lvl'!$E$4:$Y$4</c:f>
              <c:strCache>
                <c:ptCount val="21"/>
                <c:pt idx="0">
                  <c:v> 25 </c:v>
                </c:pt>
                <c:pt idx="1">
                  <c:v> 26 </c:v>
                </c:pt>
                <c:pt idx="2">
                  <c:v> 27 </c:v>
                </c:pt>
                <c:pt idx="3">
                  <c:v> 28 </c:v>
                </c:pt>
                <c:pt idx="4">
                  <c:v> 29 </c:v>
                </c:pt>
                <c:pt idx="5">
                  <c:v> 30 </c:v>
                </c:pt>
                <c:pt idx="6">
                  <c:v> 31 </c:v>
                </c:pt>
                <c:pt idx="7">
                  <c:v> 32 </c:v>
                </c:pt>
                <c:pt idx="8">
                  <c:v> 33 </c:v>
                </c:pt>
                <c:pt idx="9">
                  <c:v> 34 </c:v>
                </c:pt>
                <c:pt idx="10">
                  <c:v> 35 </c:v>
                </c:pt>
                <c:pt idx="11">
                  <c:v> 36 </c:v>
                </c:pt>
                <c:pt idx="12">
                  <c:v> 37 </c:v>
                </c:pt>
                <c:pt idx="13">
                  <c:v> 38 </c:v>
                </c:pt>
                <c:pt idx="14">
                  <c:v> 39 </c:v>
                </c:pt>
                <c:pt idx="15">
                  <c:v> 40 </c:v>
                </c:pt>
                <c:pt idx="16">
                  <c:v> 41 </c:v>
                </c:pt>
                <c:pt idx="17">
                  <c:v> 42 </c:v>
                </c:pt>
                <c:pt idx="18">
                  <c:v> 43 </c:v>
                </c:pt>
                <c:pt idx="19">
                  <c:v> 44 </c:v>
                </c:pt>
                <c:pt idx="20">
                  <c:v>residuals</c:v>
                </c:pt>
              </c:strCache>
            </c:strRef>
          </c:cat>
          <c:val>
            <c:numRef>
              <c:f>'Harvest Lvl'!$E$9:$Y$9</c:f>
              <c:numCache>
                <c:formatCode>_-* #,##0.0_-;\-* #,##0.0_-;_-* "-"??_-;_-@_-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7A-4D96-B863-179767D9E641}"/>
            </c:ext>
          </c:extLst>
        </c:ser>
        <c:ser>
          <c:idx val="2"/>
          <c:order val="2"/>
          <c:tx>
            <c:v>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'Harvest Lvl'!$E$4:$Y$4</c:f>
              <c:strCache>
                <c:ptCount val="21"/>
                <c:pt idx="0">
                  <c:v> 25 </c:v>
                </c:pt>
                <c:pt idx="1">
                  <c:v> 26 </c:v>
                </c:pt>
                <c:pt idx="2">
                  <c:v> 27 </c:v>
                </c:pt>
                <c:pt idx="3">
                  <c:v> 28 </c:v>
                </c:pt>
                <c:pt idx="4">
                  <c:v> 29 </c:v>
                </c:pt>
                <c:pt idx="5">
                  <c:v> 30 </c:v>
                </c:pt>
                <c:pt idx="6">
                  <c:v> 31 </c:v>
                </c:pt>
                <c:pt idx="7">
                  <c:v> 32 </c:v>
                </c:pt>
                <c:pt idx="8">
                  <c:v> 33 </c:v>
                </c:pt>
                <c:pt idx="9">
                  <c:v> 34 </c:v>
                </c:pt>
                <c:pt idx="10">
                  <c:v> 35 </c:v>
                </c:pt>
                <c:pt idx="11">
                  <c:v> 36 </c:v>
                </c:pt>
                <c:pt idx="12">
                  <c:v> 37 </c:v>
                </c:pt>
                <c:pt idx="13">
                  <c:v> 38 </c:v>
                </c:pt>
                <c:pt idx="14">
                  <c:v> 39 </c:v>
                </c:pt>
                <c:pt idx="15">
                  <c:v> 40 </c:v>
                </c:pt>
                <c:pt idx="16">
                  <c:v> 41 </c:v>
                </c:pt>
                <c:pt idx="17">
                  <c:v> 42 </c:v>
                </c:pt>
                <c:pt idx="18">
                  <c:v> 43 </c:v>
                </c:pt>
                <c:pt idx="19">
                  <c:v> 44 </c:v>
                </c:pt>
                <c:pt idx="20">
                  <c:v>residuals</c:v>
                </c:pt>
              </c:strCache>
            </c:strRef>
          </c:cat>
          <c:val>
            <c:numRef>
              <c:f>'Harvest Lvl'!$E$10:$Y$10</c:f>
              <c:numCache>
                <c:formatCode>_-* #,##0.0_-;\-* #,##0.0_-;_-* "-"??_-;_-@_-</c:formatCode>
                <c:ptCount val="21"/>
                <c:pt idx="0">
                  <c:v>21.848275305083838</c:v>
                </c:pt>
                <c:pt idx="1">
                  <c:v>0</c:v>
                </c:pt>
                <c:pt idx="2">
                  <c:v>0</c:v>
                </c:pt>
                <c:pt idx="3">
                  <c:v>21.848275305083838</c:v>
                </c:pt>
                <c:pt idx="4">
                  <c:v>0</c:v>
                </c:pt>
                <c:pt idx="5">
                  <c:v>0</c:v>
                </c:pt>
                <c:pt idx="6">
                  <c:v>21.848275305083838</c:v>
                </c:pt>
                <c:pt idx="7">
                  <c:v>0</c:v>
                </c:pt>
                <c:pt idx="8">
                  <c:v>0</c:v>
                </c:pt>
                <c:pt idx="9">
                  <c:v>21.848275305083838</c:v>
                </c:pt>
                <c:pt idx="10">
                  <c:v>0</c:v>
                </c:pt>
                <c:pt idx="11">
                  <c:v>0</c:v>
                </c:pt>
                <c:pt idx="12">
                  <c:v>21.848275305083838</c:v>
                </c:pt>
                <c:pt idx="13">
                  <c:v>0</c:v>
                </c:pt>
                <c:pt idx="14">
                  <c:v>0</c:v>
                </c:pt>
                <c:pt idx="15">
                  <c:v>21.848275305083838</c:v>
                </c:pt>
                <c:pt idx="16">
                  <c:v>0</c:v>
                </c:pt>
                <c:pt idx="17">
                  <c:v>0</c:v>
                </c:pt>
                <c:pt idx="18">
                  <c:v>21.848275305083838</c:v>
                </c:pt>
                <c:pt idx="19">
                  <c:v>0</c:v>
                </c:pt>
                <c:pt idx="20">
                  <c:v>120.56997233663535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67A-4D96-B863-179767D9E641}"/>
            </c:ext>
          </c:extLst>
        </c:ser>
        <c:ser>
          <c:idx val="3"/>
          <c:order val="3"/>
          <c:tx>
            <c:v>K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'Harvest Lvl'!$E$4:$Y$4</c:f>
              <c:strCache>
                <c:ptCount val="21"/>
                <c:pt idx="0">
                  <c:v> 25 </c:v>
                </c:pt>
                <c:pt idx="1">
                  <c:v> 26 </c:v>
                </c:pt>
                <c:pt idx="2">
                  <c:v> 27 </c:v>
                </c:pt>
                <c:pt idx="3">
                  <c:v> 28 </c:v>
                </c:pt>
                <c:pt idx="4">
                  <c:v> 29 </c:v>
                </c:pt>
                <c:pt idx="5">
                  <c:v> 30 </c:v>
                </c:pt>
                <c:pt idx="6">
                  <c:v> 31 </c:v>
                </c:pt>
                <c:pt idx="7">
                  <c:v> 32 </c:v>
                </c:pt>
                <c:pt idx="8">
                  <c:v> 33 </c:v>
                </c:pt>
                <c:pt idx="9">
                  <c:v> 34 </c:v>
                </c:pt>
                <c:pt idx="10">
                  <c:v> 35 </c:v>
                </c:pt>
                <c:pt idx="11">
                  <c:v> 36 </c:v>
                </c:pt>
                <c:pt idx="12">
                  <c:v> 37 </c:v>
                </c:pt>
                <c:pt idx="13">
                  <c:v> 38 </c:v>
                </c:pt>
                <c:pt idx="14">
                  <c:v> 39 </c:v>
                </c:pt>
                <c:pt idx="15">
                  <c:v> 40 </c:v>
                </c:pt>
                <c:pt idx="16">
                  <c:v> 41 </c:v>
                </c:pt>
                <c:pt idx="17">
                  <c:v> 42 </c:v>
                </c:pt>
                <c:pt idx="18">
                  <c:v> 43 </c:v>
                </c:pt>
                <c:pt idx="19">
                  <c:v> 44 </c:v>
                </c:pt>
                <c:pt idx="20">
                  <c:v>residuals</c:v>
                </c:pt>
              </c:strCache>
            </c:strRef>
          </c:cat>
          <c:val>
            <c:numRef>
              <c:f>'Harvest Lvl'!$E$11:$Y$11</c:f>
              <c:numCache>
                <c:formatCode>_-* #,##0.0_-;\-* #,##0.0_-;_-* "-"??_-;_-@_-</c:formatCode>
                <c:ptCount val="21"/>
                <c:pt idx="0">
                  <c:v>6.7269307712908128</c:v>
                </c:pt>
                <c:pt idx="1">
                  <c:v>0</c:v>
                </c:pt>
                <c:pt idx="2">
                  <c:v>0</c:v>
                </c:pt>
                <c:pt idx="3">
                  <c:v>6.7269307712908128</c:v>
                </c:pt>
                <c:pt idx="4">
                  <c:v>0</c:v>
                </c:pt>
                <c:pt idx="5">
                  <c:v>0</c:v>
                </c:pt>
                <c:pt idx="6">
                  <c:v>6.7269307712908128</c:v>
                </c:pt>
                <c:pt idx="7">
                  <c:v>0</c:v>
                </c:pt>
                <c:pt idx="8">
                  <c:v>0</c:v>
                </c:pt>
                <c:pt idx="9">
                  <c:v>6.7269307712908128</c:v>
                </c:pt>
                <c:pt idx="10">
                  <c:v>0</c:v>
                </c:pt>
                <c:pt idx="11">
                  <c:v>0</c:v>
                </c:pt>
                <c:pt idx="12">
                  <c:v>6.7269307712908128</c:v>
                </c:pt>
                <c:pt idx="13">
                  <c:v>0</c:v>
                </c:pt>
                <c:pt idx="14">
                  <c:v>0</c:v>
                </c:pt>
                <c:pt idx="15">
                  <c:v>6.7269307712908128</c:v>
                </c:pt>
                <c:pt idx="16">
                  <c:v>0</c:v>
                </c:pt>
                <c:pt idx="17">
                  <c:v>0</c:v>
                </c:pt>
                <c:pt idx="18">
                  <c:v>6.7269307712908128</c:v>
                </c:pt>
                <c:pt idx="19">
                  <c:v>0</c:v>
                </c:pt>
                <c:pt idx="20">
                  <c:v>37.122649073186516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67A-4D96-B863-179767D9E641}"/>
            </c:ext>
          </c:extLst>
        </c:ser>
        <c:ser>
          <c:idx val="4"/>
          <c:order val="4"/>
          <c:tx>
            <c:v>KI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'Harvest Lvl'!$E$4:$Y$4</c:f>
              <c:strCache>
                <c:ptCount val="21"/>
                <c:pt idx="0">
                  <c:v> 25 </c:v>
                </c:pt>
                <c:pt idx="1">
                  <c:v> 26 </c:v>
                </c:pt>
                <c:pt idx="2">
                  <c:v> 27 </c:v>
                </c:pt>
                <c:pt idx="3">
                  <c:v> 28 </c:v>
                </c:pt>
                <c:pt idx="4">
                  <c:v> 29 </c:v>
                </c:pt>
                <c:pt idx="5">
                  <c:v> 30 </c:v>
                </c:pt>
                <c:pt idx="6">
                  <c:v> 31 </c:v>
                </c:pt>
                <c:pt idx="7">
                  <c:v> 32 </c:v>
                </c:pt>
                <c:pt idx="8">
                  <c:v> 33 </c:v>
                </c:pt>
                <c:pt idx="9">
                  <c:v> 34 </c:v>
                </c:pt>
                <c:pt idx="10">
                  <c:v> 35 </c:v>
                </c:pt>
                <c:pt idx="11">
                  <c:v> 36 </c:v>
                </c:pt>
                <c:pt idx="12">
                  <c:v> 37 </c:v>
                </c:pt>
                <c:pt idx="13">
                  <c:v> 38 </c:v>
                </c:pt>
                <c:pt idx="14">
                  <c:v> 39 </c:v>
                </c:pt>
                <c:pt idx="15">
                  <c:v> 40 </c:v>
                </c:pt>
                <c:pt idx="16">
                  <c:v> 41 </c:v>
                </c:pt>
                <c:pt idx="17">
                  <c:v> 42 </c:v>
                </c:pt>
                <c:pt idx="18">
                  <c:v> 43 </c:v>
                </c:pt>
                <c:pt idx="19">
                  <c:v> 44 </c:v>
                </c:pt>
                <c:pt idx="20">
                  <c:v>residuals</c:v>
                </c:pt>
              </c:strCache>
            </c:strRef>
          </c:cat>
          <c:val>
            <c:numRef>
              <c:f>'Harvest Lvl'!$E$12:$Y$12</c:f>
              <c:numCache>
                <c:formatCode>_-* #,##0.0_-;\-* #,##0.0_-;_-* "-"??_-;_-@_-</c:formatCode>
                <c:ptCount val="21"/>
                <c:pt idx="0">
                  <c:v>18.010466190762056</c:v>
                </c:pt>
                <c:pt idx="1">
                  <c:v>0</c:v>
                </c:pt>
                <c:pt idx="2">
                  <c:v>0</c:v>
                </c:pt>
                <c:pt idx="3">
                  <c:v>18.010466190762056</c:v>
                </c:pt>
                <c:pt idx="4">
                  <c:v>0</c:v>
                </c:pt>
                <c:pt idx="5">
                  <c:v>0</c:v>
                </c:pt>
                <c:pt idx="6">
                  <c:v>18.010466190762056</c:v>
                </c:pt>
                <c:pt idx="7">
                  <c:v>0</c:v>
                </c:pt>
                <c:pt idx="8">
                  <c:v>0</c:v>
                </c:pt>
                <c:pt idx="9">
                  <c:v>18.010466190762056</c:v>
                </c:pt>
                <c:pt idx="10">
                  <c:v>0</c:v>
                </c:pt>
                <c:pt idx="11">
                  <c:v>0</c:v>
                </c:pt>
                <c:pt idx="12">
                  <c:v>18.010466190762056</c:v>
                </c:pt>
                <c:pt idx="13">
                  <c:v>0</c:v>
                </c:pt>
                <c:pt idx="14">
                  <c:v>0</c:v>
                </c:pt>
                <c:pt idx="15">
                  <c:v>18.010466190762056</c:v>
                </c:pt>
                <c:pt idx="16">
                  <c:v>0</c:v>
                </c:pt>
                <c:pt idx="17">
                  <c:v>0</c:v>
                </c:pt>
                <c:pt idx="18">
                  <c:v>18.010466190762056</c:v>
                </c:pt>
                <c:pt idx="19">
                  <c:v>0</c:v>
                </c:pt>
                <c:pt idx="20">
                  <c:v>99.390976178554467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67A-4D96-B863-179767D9E641}"/>
            </c:ext>
          </c:extLst>
        </c:ser>
        <c:ser>
          <c:idx val="5"/>
          <c:order val="5"/>
          <c:tx>
            <c:v>KIS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'Harvest Lvl'!$E$4:$Y$4</c:f>
              <c:strCache>
                <c:ptCount val="21"/>
                <c:pt idx="0">
                  <c:v> 25 </c:v>
                </c:pt>
                <c:pt idx="1">
                  <c:v> 26 </c:v>
                </c:pt>
                <c:pt idx="2">
                  <c:v> 27 </c:v>
                </c:pt>
                <c:pt idx="3">
                  <c:v> 28 </c:v>
                </c:pt>
                <c:pt idx="4">
                  <c:v> 29 </c:v>
                </c:pt>
                <c:pt idx="5">
                  <c:v> 30 </c:v>
                </c:pt>
                <c:pt idx="6">
                  <c:v> 31 </c:v>
                </c:pt>
                <c:pt idx="7">
                  <c:v> 32 </c:v>
                </c:pt>
                <c:pt idx="8">
                  <c:v> 33 </c:v>
                </c:pt>
                <c:pt idx="9">
                  <c:v> 34 </c:v>
                </c:pt>
                <c:pt idx="10">
                  <c:v> 35 </c:v>
                </c:pt>
                <c:pt idx="11">
                  <c:v> 36 </c:v>
                </c:pt>
                <c:pt idx="12">
                  <c:v> 37 </c:v>
                </c:pt>
                <c:pt idx="13">
                  <c:v> 38 </c:v>
                </c:pt>
                <c:pt idx="14">
                  <c:v> 39 </c:v>
                </c:pt>
                <c:pt idx="15">
                  <c:v> 40 </c:v>
                </c:pt>
                <c:pt idx="16">
                  <c:v> 41 </c:v>
                </c:pt>
                <c:pt idx="17">
                  <c:v> 42 </c:v>
                </c:pt>
                <c:pt idx="18">
                  <c:v> 43 </c:v>
                </c:pt>
                <c:pt idx="19">
                  <c:v> 44 </c:v>
                </c:pt>
                <c:pt idx="20">
                  <c:v>residuals</c:v>
                </c:pt>
              </c:strCache>
            </c:strRef>
          </c:cat>
          <c:val>
            <c:numRef>
              <c:f>'Harvest Lvl'!$E$13:$Y$13</c:f>
              <c:numCache>
                <c:formatCode>_-* #,##0.0_-;\-* #,##0.0_-;_-* "-"??_-;_-@_-</c:formatCode>
                <c:ptCount val="21"/>
                <c:pt idx="0">
                  <c:v>2.5653056744642102</c:v>
                </c:pt>
                <c:pt idx="1">
                  <c:v>0</c:v>
                </c:pt>
                <c:pt idx="2">
                  <c:v>0</c:v>
                </c:pt>
                <c:pt idx="3">
                  <c:v>2.5653056744642102</c:v>
                </c:pt>
                <c:pt idx="4">
                  <c:v>0</c:v>
                </c:pt>
                <c:pt idx="5">
                  <c:v>0</c:v>
                </c:pt>
                <c:pt idx="6">
                  <c:v>2.5653056744642102</c:v>
                </c:pt>
                <c:pt idx="7">
                  <c:v>0</c:v>
                </c:pt>
                <c:pt idx="8">
                  <c:v>0</c:v>
                </c:pt>
                <c:pt idx="9">
                  <c:v>2.5653056744642102</c:v>
                </c:pt>
                <c:pt idx="10">
                  <c:v>0</c:v>
                </c:pt>
                <c:pt idx="11">
                  <c:v>0</c:v>
                </c:pt>
                <c:pt idx="12">
                  <c:v>2.5653056744642102</c:v>
                </c:pt>
                <c:pt idx="13">
                  <c:v>0</c:v>
                </c:pt>
                <c:pt idx="14">
                  <c:v>0</c:v>
                </c:pt>
                <c:pt idx="15">
                  <c:v>2.5653056744642102</c:v>
                </c:pt>
                <c:pt idx="16">
                  <c:v>0</c:v>
                </c:pt>
                <c:pt idx="17">
                  <c:v>0</c:v>
                </c:pt>
                <c:pt idx="18">
                  <c:v>2.5653056744642102</c:v>
                </c:pt>
                <c:pt idx="19">
                  <c:v>0</c:v>
                </c:pt>
                <c:pt idx="20">
                  <c:v>14.156670487083861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67A-4D96-B863-179767D9E641}"/>
            </c:ext>
          </c:extLst>
        </c:ser>
        <c:ser>
          <c:idx val="6"/>
          <c:order val="6"/>
          <c:tx>
            <c:v>Pulp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'Harvest Lvl'!$E$4:$Y$4</c:f>
              <c:strCache>
                <c:ptCount val="21"/>
                <c:pt idx="0">
                  <c:v> 25 </c:v>
                </c:pt>
                <c:pt idx="1">
                  <c:v> 26 </c:v>
                </c:pt>
                <c:pt idx="2">
                  <c:v> 27 </c:v>
                </c:pt>
                <c:pt idx="3">
                  <c:v> 28 </c:v>
                </c:pt>
                <c:pt idx="4">
                  <c:v> 29 </c:v>
                </c:pt>
                <c:pt idx="5">
                  <c:v> 30 </c:v>
                </c:pt>
                <c:pt idx="6">
                  <c:v> 31 </c:v>
                </c:pt>
                <c:pt idx="7">
                  <c:v> 32 </c:v>
                </c:pt>
                <c:pt idx="8">
                  <c:v> 33 </c:v>
                </c:pt>
                <c:pt idx="9">
                  <c:v> 34 </c:v>
                </c:pt>
                <c:pt idx="10">
                  <c:v> 35 </c:v>
                </c:pt>
                <c:pt idx="11">
                  <c:v> 36 </c:v>
                </c:pt>
                <c:pt idx="12">
                  <c:v> 37 </c:v>
                </c:pt>
                <c:pt idx="13">
                  <c:v> 38 </c:v>
                </c:pt>
                <c:pt idx="14">
                  <c:v> 39 </c:v>
                </c:pt>
                <c:pt idx="15">
                  <c:v> 40 </c:v>
                </c:pt>
                <c:pt idx="16">
                  <c:v> 41 </c:v>
                </c:pt>
                <c:pt idx="17">
                  <c:v> 42 </c:v>
                </c:pt>
                <c:pt idx="18">
                  <c:v> 43 </c:v>
                </c:pt>
                <c:pt idx="19">
                  <c:v> 44 </c:v>
                </c:pt>
                <c:pt idx="20">
                  <c:v>residuals</c:v>
                </c:pt>
              </c:strCache>
            </c:strRef>
          </c:cat>
          <c:val>
            <c:numRef>
              <c:f>'Harvest Lvl'!$E$14:$Y$14</c:f>
              <c:numCache>
                <c:formatCode>_-* #,##0.0_-;\-* #,##0.0_-;_-* "-"??_-;_-@_-</c:formatCode>
                <c:ptCount val="21"/>
                <c:pt idx="0">
                  <c:v>1.2212973532314446</c:v>
                </c:pt>
                <c:pt idx="1">
                  <c:v>0</c:v>
                </c:pt>
                <c:pt idx="2">
                  <c:v>0</c:v>
                </c:pt>
                <c:pt idx="3">
                  <c:v>1.2212973532314446</c:v>
                </c:pt>
                <c:pt idx="4">
                  <c:v>0</c:v>
                </c:pt>
                <c:pt idx="5">
                  <c:v>0</c:v>
                </c:pt>
                <c:pt idx="6">
                  <c:v>1.2212973532314446</c:v>
                </c:pt>
                <c:pt idx="7">
                  <c:v>0</c:v>
                </c:pt>
                <c:pt idx="8">
                  <c:v>0</c:v>
                </c:pt>
                <c:pt idx="9">
                  <c:v>1.2212973532314446</c:v>
                </c:pt>
                <c:pt idx="10">
                  <c:v>0</c:v>
                </c:pt>
                <c:pt idx="11">
                  <c:v>0</c:v>
                </c:pt>
                <c:pt idx="12">
                  <c:v>1.2212973532314446</c:v>
                </c:pt>
                <c:pt idx="13">
                  <c:v>0</c:v>
                </c:pt>
                <c:pt idx="14">
                  <c:v>0</c:v>
                </c:pt>
                <c:pt idx="15">
                  <c:v>1.2212973532314446</c:v>
                </c:pt>
                <c:pt idx="16">
                  <c:v>0</c:v>
                </c:pt>
                <c:pt idx="17">
                  <c:v>0</c:v>
                </c:pt>
                <c:pt idx="18">
                  <c:v>1.2212973532314446</c:v>
                </c:pt>
                <c:pt idx="19">
                  <c:v>0</c:v>
                </c:pt>
                <c:pt idx="20">
                  <c:v>6.7397442607132234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67A-4D96-B863-179767D9E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10098944"/>
        <c:axId val="109291776"/>
      </c:barChart>
      <c:catAx>
        <c:axId val="110098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NZ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50825058131855594"/>
              <c:y val="0.891940019978803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NZ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91776"/>
        <c:crosses val="autoZero"/>
        <c:auto val="1"/>
        <c:lblAlgn val="ctr"/>
        <c:lblOffset val="100"/>
        <c:noMultiLvlLbl val="0"/>
      </c:catAx>
      <c:valAx>
        <c:axId val="10929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NZ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Volume</a:t>
                </a:r>
                <a:r>
                  <a:rPr lang="en-NZ" baseline="0"/>
                  <a:t> (m3/ha)</a:t>
                </a:r>
                <a:endParaRPr lang="en-NZ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NZ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09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75050030492401"/>
          <c:y val="0.9367094846622479"/>
          <c:w val="0.60583399720696296"/>
          <c:h val="5.1665466816647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NZ"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en-NZ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22" fmlaLink="$Y$24" inc="5" max="1000" page="10" val="8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7</xdr:row>
          <xdr:rowOff>19050</xdr:rowOff>
        </xdr:from>
        <xdr:to>
          <xdr:col>4</xdr:col>
          <xdr:colOff>200025</xdr:colOff>
          <xdr:row>8</xdr:row>
          <xdr:rowOff>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15106</xdr:colOff>
      <xdr:row>14</xdr:row>
      <xdr:rowOff>21167</xdr:rowOff>
    </xdr:from>
    <xdr:to>
      <xdr:col>20</xdr:col>
      <xdr:colOff>508000</xdr:colOff>
      <xdr:row>36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243417</xdr:colOff>
      <xdr:row>24</xdr:row>
      <xdr:rowOff>10584</xdr:rowOff>
    </xdr:from>
    <xdr:to>
      <xdr:col>8</xdr:col>
      <xdr:colOff>317500</xdr:colOff>
      <xdr:row>40</xdr:row>
      <xdr:rowOff>148167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52917</xdr:colOff>
      <xdr:row>14</xdr:row>
      <xdr:rowOff>52918</xdr:rowOff>
    </xdr:from>
    <xdr:to>
      <xdr:col>32</xdr:col>
      <xdr:colOff>539751</xdr:colOff>
      <xdr:row>36</xdr:row>
      <xdr:rowOff>169334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28</xdr:col>
      <xdr:colOff>328083</xdr:colOff>
      <xdr:row>37</xdr:row>
      <xdr:rowOff>52917</xdr:rowOff>
    </xdr:from>
    <xdr:to>
      <xdr:col>32</xdr:col>
      <xdr:colOff>560917</xdr:colOff>
      <xdr:row>40</xdr:row>
      <xdr:rowOff>179917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52750" y="7302500"/>
          <a:ext cx="2561167" cy="698500"/>
        </a:xfrm>
        <a:prstGeom prst="rect">
          <a:avLst/>
        </a:prstGeom>
      </xdr:spPr>
    </xdr:pic>
    <xdr:clientData/>
  </xdr:twoCellAnchor>
  <xdr:twoCellAnchor editAs="oneCell">
    <xdr:from>
      <xdr:col>26</xdr:col>
      <xdr:colOff>507998</xdr:colOff>
      <xdr:row>37</xdr:row>
      <xdr:rowOff>31750</xdr:rowOff>
    </xdr:from>
    <xdr:to>
      <xdr:col>27</xdr:col>
      <xdr:colOff>456003</xdr:colOff>
      <xdr:row>40</xdr:row>
      <xdr:rowOff>137585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68498" y="7281333"/>
          <a:ext cx="530089" cy="677335"/>
        </a:xfrm>
        <a:prstGeom prst="rect">
          <a:avLst/>
        </a:prstGeom>
      </xdr:spPr>
    </xdr:pic>
    <xdr:clientData/>
  </xdr:twoCellAnchor>
  <xdr:twoCellAnchor editAs="oneCell">
    <xdr:from>
      <xdr:col>22</xdr:col>
      <xdr:colOff>84663</xdr:colOff>
      <xdr:row>37</xdr:row>
      <xdr:rowOff>31751</xdr:rowOff>
    </xdr:from>
    <xdr:to>
      <xdr:col>25</xdr:col>
      <xdr:colOff>455083</xdr:colOff>
      <xdr:row>40</xdr:row>
      <xdr:rowOff>180266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916830" y="7281334"/>
          <a:ext cx="2116670" cy="7200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21166</xdr:colOff>
      <xdr:row>1</xdr:row>
      <xdr:rowOff>21168</xdr:rowOff>
    </xdr:from>
    <xdr:to>
      <xdr:col>26</xdr:col>
      <xdr:colOff>560916</xdr:colOff>
      <xdr:row>17</xdr:row>
      <xdr:rowOff>148166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493749" y="222251"/>
          <a:ext cx="2995084" cy="33443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200">
              <a:latin typeface="Arial" panose="020B0604020202020204" pitchFamily="34" charset="0"/>
              <a:cs typeface="Arial" panose="020B0604020202020204" pitchFamily="34" charset="0"/>
            </a:rPr>
            <a:t>Notes:</a:t>
          </a:r>
        </a:p>
        <a:p>
          <a:endParaRPr lang="en-NZ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NZ" sz="1100">
              <a:latin typeface="+mn-lt"/>
              <a:cs typeface="Arial" panose="020B0604020202020204" pitchFamily="34" charset="0"/>
            </a:rPr>
            <a:t>Yield tables are derived from YT Gen and</a:t>
          </a:r>
          <a:r>
            <a:rPr lang="en-NZ" sz="1100" baseline="0">
              <a:latin typeface="+mn-lt"/>
              <a:cs typeface="Arial" panose="020B0604020202020204" pitchFamily="34" charset="0"/>
            </a:rPr>
            <a:t> spreadsheet yield model specific to this project. Export scenarios is assumed.</a:t>
          </a:r>
        </a:p>
        <a:p>
          <a:endParaRPr lang="en-NZ" sz="1100" baseline="0">
            <a:latin typeface="+mn-lt"/>
            <a:cs typeface="Arial" panose="020B0604020202020204" pitchFamily="34" charset="0"/>
          </a:endParaRPr>
        </a:p>
        <a:p>
          <a:r>
            <a:rPr lang="en-NZ" sz="1100" baseline="0">
              <a:latin typeface="+mn-lt"/>
              <a:cs typeface="Arial" panose="020B0604020202020204" pitchFamily="34" charset="0"/>
            </a:rPr>
            <a:t>Blue cells are minimum inputs to produce cashflow.</a:t>
          </a:r>
        </a:p>
        <a:p>
          <a:endParaRPr lang="en-NZ" sz="1100">
            <a:latin typeface="+mn-lt"/>
            <a:cs typeface="Arial" panose="020B0604020202020204" pitchFamily="34" charset="0"/>
          </a:endParaRPr>
        </a:p>
        <a:p>
          <a:r>
            <a:rPr lang="en-NZ" sz="1100">
              <a:latin typeface="+mn-lt"/>
              <a:cs typeface="Arial" panose="020B0604020202020204" pitchFamily="34" charset="0"/>
            </a:rPr>
            <a:t>This</a:t>
          </a:r>
          <a:r>
            <a:rPr lang="en-NZ" sz="1100" baseline="0">
              <a:latin typeface="+mn-lt"/>
              <a:cs typeface="Arial" panose="020B0604020202020204" pitchFamily="34" charset="0"/>
            </a:rPr>
            <a:t> demo is only capable of running single property at a time.</a:t>
          </a:r>
        </a:p>
        <a:p>
          <a:endParaRPr lang="en-NZ" sz="1100" baseline="0">
            <a:latin typeface="+mn-lt"/>
            <a:cs typeface="Arial" panose="020B0604020202020204" pitchFamily="34" charset="0"/>
          </a:endParaRPr>
        </a:p>
        <a:p>
          <a:r>
            <a:rPr lang="en-NZ" sz="1100" baseline="0">
              <a:latin typeface="+mn-lt"/>
              <a:cs typeface="Arial" panose="020B0604020202020204" pitchFamily="34" charset="0"/>
            </a:rPr>
            <a:t>For more details on assumptions, please contact project team.</a:t>
          </a:r>
        </a:p>
        <a:p>
          <a:endParaRPr lang="en-NZ" sz="1100" baseline="0">
            <a:latin typeface="+mn-lt"/>
            <a:cs typeface="Arial" panose="020B0604020202020204" pitchFamily="34" charset="0"/>
          </a:endParaRPr>
        </a:p>
        <a:p>
          <a:r>
            <a:rPr lang="en-NZ" sz="1100">
              <a:latin typeface="+mn-lt"/>
              <a:cs typeface="Arial" panose="020B0604020202020204" pitchFamily="34" charset="0"/>
            </a:rPr>
            <a:t>Please do</a:t>
          </a:r>
          <a:r>
            <a:rPr lang="en-NZ" sz="1100" baseline="0">
              <a:latin typeface="+mn-lt"/>
              <a:cs typeface="Arial" panose="020B0604020202020204" pitchFamily="34" charset="0"/>
            </a:rPr>
            <a:t> not modify the structure of the model, or use it for other purposes.</a:t>
          </a:r>
          <a:endParaRPr lang="en-NZ" sz="1100"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41"/>
  <sheetViews>
    <sheetView tabSelected="1" topLeftCell="K10" zoomScale="90" zoomScaleNormal="90" workbookViewId="0">
      <selection activeCell="Z13" sqref="Z13"/>
    </sheetView>
  </sheetViews>
  <sheetFormatPr defaultRowHeight="15" x14ac:dyDescent="0.25"/>
  <cols>
    <col min="1" max="1" width="13.85546875" style="132" customWidth="1"/>
    <col min="2" max="2" width="9.85546875" style="132" customWidth="1"/>
    <col min="3" max="3" width="11.28515625" style="132" customWidth="1"/>
    <col min="4" max="4" width="8.5703125" style="132" customWidth="1"/>
    <col min="5" max="6" width="9.140625" style="132"/>
    <col min="7" max="7" width="9.85546875" style="132" customWidth="1"/>
    <col min="8" max="8" width="7" style="132" customWidth="1"/>
    <col min="9" max="9" width="10.85546875" style="132" bestFit="1" customWidth="1"/>
    <col min="10" max="10" width="1.85546875" style="132" customWidth="1"/>
    <col min="11" max="21" width="8.5703125" style="132" customWidth="1"/>
    <col min="22" max="22" width="1.85546875" style="132" customWidth="1"/>
    <col min="23" max="33" width="8.7109375" style="132" customWidth="1"/>
    <col min="34" max="34" width="20.42578125" style="132" customWidth="1"/>
    <col min="35" max="16384" width="9.140625" style="132"/>
  </cols>
  <sheetData>
    <row r="1" spans="2:33" ht="6.75" customHeight="1" thickBot="1" x14ac:dyDescent="0.3"/>
    <row r="2" spans="2:33" ht="19.5" thickBot="1" x14ac:dyDescent="0.35">
      <c r="B2" s="140" t="s">
        <v>121</v>
      </c>
      <c r="C2" s="136"/>
      <c r="D2" s="136"/>
      <c r="E2" s="136"/>
      <c r="F2" s="136"/>
      <c r="G2" s="136"/>
      <c r="H2" s="136"/>
      <c r="I2" s="137"/>
      <c r="K2" s="140" t="s">
        <v>120</v>
      </c>
      <c r="L2" s="136"/>
      <c r="M2" s="136"/>
      <c r="N2" s="136"/>
      <c r="O2" s="136"/>
      <c r="P2" s="136"/>
      <c r="Q2" s="136"/>
      <c r="R2" s="136"/>
      <c r="S2" s="136"/>
      <c r="T2" s="136"/>
      <c r="U2" s="137"/>
      <c r="W2" s="232" t="s">
        <v>181</v>
      </c>
      <c r="X2" s="233"/>
      <c r="Y2" s="233"/>
      <c r="Z2" s="233"/>
      <c r="AA2" s="233"/>
      <c r="AB2" s="233"/>
      <c r="AC2" s="233"/>
      <c r="AD2" s="233"/>
      <c r="AE2" s="233"/>
      <c r="AF2" s="233"/>
      <c r="AG2" s="234"/>
    </row>
    <row r="3" spans="2:33" x14ac:dyDescent="0.25">
      <c r="B3" s="93"/>
      <c r="C3" s="89"/>
      <c r="D3" s="89"/>
      <c r="E3" s="89"/>
      <c r="F3" s="89"/>
      <c r="G3" s="89"/>
      <c r="H3" s="89"/>
      <c r="I3" s="98"/>
      <c r="K3" s="93"/>
      <c r="L3" s="89"/>
      <c r="M3" s="89"/>
      <c r="N3" s="89"/>
      <c r="O3" s="89"/>
      <c r="P3" s="89"/>
      <c r="Q3" s="89"/>
      <c r="R3" s="89"/>
      <c r="S3" s="89"/>
      <c r="T3" s="89"/>
      <c r="U3" s="98"/>
      <c r="W3" s="235"/>
      <c r="X3" s="236"/>
      <c r="Y3" s="236"/>
      <c r="Z3" s="236"/>
      <c r="AA3" s="236"/>
      <c r="AB3" s="236"/>
      <c r="AC3" s="236"/>
      <c r="AD3" s="236"/>
      <c r="AE3" s="236"/>
      <c r="AF3" s="236"/>
      <c r="AG3" s="237"/>
    </row>
    <row r="4" spans="2:33" ht="15.75" x14ac:dyDescent="0.25">
      <c r="B4" s="93"/>
      <c r="C4" s="94" t="s">
        <v>185</v>
      </c>
      <c r="D4" s="95" t="str">
        <f>Forest</f>
        <v>C</v>
      </c>
      <c r="E4" s="89"/>
      <c r="F4" s="94" t="s">
        <v>119</v>
      </c>
      <c r="G4" s="96">
        <f>Area</f>
        <v>15.6</v>
      </c>
      <c r="H4" s="97" t="s">
        <v>122</v>
      </c>
      <c r="I4" s="98"/>
      <c r="K4" s="93"/>
      <c r="L4" s="89"/>
      <c r="M4" s="94" t="s">
        <v>1</v>
      </c>
      <c r="N4" s="94" t="s">
        <v>52</v>
      </c>
      <c r="O4" s="94" t="s">
        <v>2</v>
      </c>
      <c r="P4" s="94" t="s">
        <v>3</v>
      </c>
      <c r="Q4" s="94" t="s">
        <v>4</v>
      </c>
      <c r="R4" s="94" t="s">
        <v>5</v>
      </c>
      <c r="S4" s="94" t="s">
        <v>6</v>
      </c>
      <c r="T4" s="106" t="s">
        <v>86</v>
      </c>
      <c r="U4" s="98"/>
      <c r="W4" s="238"/>
      <c r="X4" s="239"/>
      <c r="Y4" s="239"/>
      <c r="Z4" s="239"/>
      <c r="AA4" s="239"/>
      <c r="AB4" s="239"/>
      <c r="AC4" s="239"/>
      <c r="AD4" s="239"/>
      <c r="AE4" s="239"/>
      <c r="AF4" s="239"/>
      <c r="AG4" s="240"/>
    </row>
    <row r="5" spans="2:33" ht="15.75" customHeight="1" x14ac:dyDescent="0.25">
      <c r="B5" s="93"/>
      <c r="C5" s="94" t="s">
        <v>118</v>
      </c>
      <c r="D5" s="95">
        <v>55</v>
      </c>
      <c r="E5" s="100" t="s">
        <v>109</v>
      </c>
      <c r="F5" s="94" t="s">
        <v>117</v>
      </c>
      <c r="G5" s="96" t="str">
        <f>Spp</f>
        <v>Prad</v>
      </c>
      <c r="H5" s="101"/>
      <c r="I5" s="98"/>
      <c r="K5" s="93"/>
      <c r="L5" s="94" t="s">
        <v>125</v>
      </c>
      <c r="M5" s="129">
        <f>SUM(Cashflow_TDH!$E$8:$X$8)</f>
        <v>169.15422638888887</v>
      </c>
      <c r="N5" s="129">
        <f>SUM(Cashflow_TDH!E9:X9)</f>
        <v>0</v>
      </c>
      <c r="O5" s="129">
        <f>SUM(Cashflow_TDH!$E$10:$X$10)</f>
        <v>164.03726138888888</v>
      </c>
      <c r="P5" s="129">
        <f>SUM(Cashflow_TDH!$E$11:$X$11)</f>
        <v>25.09506138888889</v>
      </c>
      <c r="Q5" s="129">
        <f>SUM(Cashflow_TDH!$E$12:$X$12)</f>
        <v>138.98089472222222</v>
      </c>
      <c r="R5" s="129">
        <f>SUM(Cashflow_TDH!$E$13:$X$13)</f>
        <v>15.528175000000001</v>
      </c>
      <c r="S5" s="129">
        <f>SUM(Cashflow_TDH!$E$14:$X$14)</f>
        <v>6.206821333333334</v>
      </c>
      <c r="T5" s="129">
        <f>SUM(M5:S5)</f>
        <v>519.00244022222216</v>
      </c>
      <c r="U5" s="102"/>
      <c r="V5" s="133"/>
      <c r="W5" s="249" t="s">
        <v>182</v>
      </c>
      <c r="X5" s="250"/>
      <c r="Y5" s="250"/>
      <c r="Z5" s="250"/>
      <c r="AA5" s="250"/>
      <c r="AB5" s="250"/>
      <c r="AC5" s="250"/>
      <c r="AD5" s="250"/>
      <c r="AE5" s="250"/>
      <c r="AF5" s="250"/>
      <c r="AG5" s="251"/>
    </row>
    <row r="6" spans="2:33" ht="15.75" x14ac:dyDescent="0.25">
      <c r="B6" s="93"/>
      <c r="C6" s="94" t="s">
        <v>116</v>
      </c>
      <c r="D6" s="95">
        <v>3</v>
      </c>
      <c r="E6" s="100" t="s">
        <v>172</v>
      </c>
      <c r="F6" s="94" t="s">
        <v>103</v>
      </c>
      <c r="G6" s="96">
        <f>Age</f>
        <v>25</v>
      </c>
      <c r="H6" s="103"/>
      <c r="I6" s="104"/>
      <c r="K6" s="93"/>
      <c r="L6" s="105" t="s">
        <v>126</v>
      </c>
      <c r="M6" s="130">
        <f>Cashflow_TDH!$Y$8</f>
        <v>76.555683458333348</v>
      </c>
      <c r="N6" s="130">
        <f>Cashflow_TDH!$Y$9</f>
        <v>0</v>
      </c>
      <c r="O6" s="130">
        <f>Cashflow_TDH!$Y$10</f>
        <v>109.47063808333334</v>
      </c>
      <c r="P6" s="130">
        <f>Cashflow_TDH!$Y$11</f>
        <v>59.116103083333321</v>
      </c>
      <c r="Q6" s="130">
        <f>Cashflow_TDH!$Y$12</f>
        <v>86.483344791666653</v>
      </c>
      <c r="R6" s="130">
        <f>Cashflow_TDH!$Y$13</f>
        <v>16.585635208333333</v>
      </c>
      <c r="S6" s="130">
        <f>Cashflow_TDH!$Y$14</f>
        <v>9.0820044000000006</v>
      </c>
      <c r="T6" s="130">
        <f>SUM(M6:S6)</f>
        <v>357.29340902499996</v>
      </c>
      <c r="U6" s="102"/>
      <c r="V6" s="133"/>
      <c r="W6" s="249"/>
      <c r="X6" s="250"/>
      <c r="Y6" s="250"/>
      <c r="Z6" s="250"/>
      <c r="AA6" s="250"/>
      <c r="AB6" s="250"/>
      <c r="AC6" s="250"/>
      <c r="AD6" s="250"/>
      <c r="AE6" s="250"/>
      <c r="AF6" s="250"/>
      <c r="AG6" s="251"/>
    </row>
    <row r="7" spans="2:33" ht="15.75" x14ac:dyDescent="0.25">
      <c r="B7" s="93"/>
      <c r="C7" s="94" t="s">
        <v>115</v>
      </c>
      <c r="D7" s="95" t="s">
        <v>87</v>
      </c>
      <c r="E7" s="97"/>
      <c r="F7" s="89"/>
      <c r="G7" s="89"/>
      <c r="H7" s="101"/>
      <c r="I7" s="98"/>
      <c r="K7" s="93"/>
      <c r="L7" s="106" t="s">
        <v>41</v>
      </c>
      <c r="M7" s="131">
        <f>SUM(M5:M6)</f>
        <v>245.70990984722221</v>
      </c>
      <c r="N7" s="131">
        <f t="shared" ref="N7:T7" si="0">SUM(N5:N6)</f>
        <v>0</v>
      </c>
      <c r="O7" s="131">
        <f t="shared" si="0"/>
        <v>273.50789947222222</v>
      </c>
      <c r="P7" s="131">
        <f t="shared" si="0"/>
        <v>84.211164472222208</v>
      </c>
      <c r="Q7" s="131">
        <f t="shared" si="0"/>
        <v>225.46423951388886</v>
      </c>
      <c r="R7" s="131">
        <f t="shared" si="0"/>
        <v>32.113810208333334</v>
      </c>
      <c r="S7" s="131">
        <f t="shared" si="0"/>
        <v>15.288825733333335</v>
      </c>
      <c r="T7" s="131">
        <f t="shared" si="0"/>
        <v>876.29584924722212</v>
      </c>
      <c r="U7" s="108" t="s">
        <v>137</v>
      </c>
      <c r="V7" s="134"/>
      <c r="W7" s="252" t="s">
        <v>184</v>
      </c>
      <c r="X7" s="253"/>
      <c r="Y7" s="253"/>
      <c r="Z7" s="253"/>
      <c r="AA7" s="253"/>
      <c r="AB7" s="253"/>
      <c r="AC7" s="253"/>
      <c r="AD7" s="253"/>
      <c r="AE7" s="253"/>
      <c r="AF7" s="253"/>
      <c r="AG7" s="254"/>
    </row>
    <row r="8" spans="2:33" x14ac:dyDescent="0.25">
      <c r="B8" s="93"/>
      <c r="C8" s="94" t="s">
        <v>132</v>
      </c>
      <c r="D8" s="109">
        <f>Y24/1000</f>
        <v>0.08</v>
      </c>
      <c r="E8" s="97"/>
      <c r="F8" s="94"/>
      <c r="G8" s="99"/>
      <c r="H8" s="110"/>
      <c r="I8" s="98"/>
      <c r="K8" s="93"/>
      <c r="L8" s="106"/>
      <c r="M8" s="111"/>
      <c r="N8" s="111"/>
      <c r="O8" s="111"/>
      <c r="P8" s="111"/>
      <c r="Q8" s="111"/>
      <c r="R8" s="111"/>
      <c r="S8" s="111"/>
      <c r="T8" s="111"/>
      <c r="U8" s="102"/>
      <c r="V8" s="133"/>
      <c r="W8" s="252"/>
      <c r="X8" s="253"/>
      <c r="Y8" s="253"/>
      <c r="Z8" s="253"/>
      <c r="AA8" s="253"/>
      <c r="AB8" s="253"/>
      <c r="AC8" s="253"/>
      <c r="AD8" s="253"/>
      <c r="AE8" s="253"/>
      <c r="AF8" s="253"/>
      <c r="AG8" s="254"/>
    </row>
    <row r="9" spans="2:33" ht="16.5" thickBot="1" x14ac:dyDescent="0.3">
      <c r="B9" s="112"/>
      <c r="C9" s="113"/>
      <c r="D9" s="113"/>
      <c r="E9" s="113"/>
      <c r="F9" s="113"/>
      <c r="G9" s="113"/>
      <c r="H9" s="113"/>
      <c r="I9" s="114"/>
      <c r="K9" s="93"/>
      <c r="L9" s="94" t="s">
        <v>124</v>
      </c>
      <c r="M9" s="115">
        <f>SUM(Cashflow_TDH!$E$16:$X$16)</f>
        <v>205.55555555555554</v>
      </c>
      <c r="N9" s="100" t="s">
        <v>114</v>
      </c>
      <c r="O9" s="89"/>
      <c r="P9" s="94" t="s">
        <v>130</v>
      </c>
      <c r="Q9" s="116">
        <f>IF(D6=1,AVERAGE(Cashflow_TDH!$E$15:$X$15),AVERAGE(Cashflow_TDH!E15,Cashflow_TDH!H15,Cashflow_TDH!K15,Cashflow_TDH!N15,Cashflow_TDH!Q15,Cashflow_TDH!T15,Cashflow_TDH!W15))</f>
        <v>2.5705538783165878</v>
      </c>
      <c r="R9" s="117" t="s">
        <v>138</v>
      </c>
      <c r="S9" s="89"/>
      <c r="T9" s="89"/>
      <c r="U9" s="98"/>
      <c r="W9" s="255"/>
      <c r="X9" s="256"/>
      <c r="Y9" s="256"/>
      <c r="Z9" s="256"/>
      <c r="AA9" s="256"/>
      <c r="AB9" s="256"/>
      <c r="AC9" s="256"/>
      <c r="AD9" s="256"/>
      <c r="AE9" s="256"/>
      <c r="AF9" s="256"/>
      <c r="AG9" s="257"/>
    </row>
    <row r="10" spans="2:33" ht="16.5" thickBot="1" x14ac:dyDescent="0.3">
      <c r="K10" s="93"/>
      <c r="L10" s="94" t="s">
        <v>127</v>
      </c>
      <c r="M10" s="115">
        <f>Cashflow_TDH!$Y$16</f>
        <v>186.66666666666666</v>
      </c>
      <c r="N10" s="100"/>
      <c r="O10" s="89"/>
      <c r="P10" s="89"/>
      <c r="Q10" s="89"/>
      <c r="R10" s="89"/>
      <c r="S10" s="89"/>
      <c r="T10" s="89"/>
      <c r="U10" s="98"/>
      <c r="X10" s="135"/>
    </row>
    <row r="11" spans="2:33" ht="19.5" thickBot="1" x14ac:dyDescent="0.35">
      <c r="B11" s="140" t="s">
        <v>129</v>
      </c>
      <c r="C11" s="136"/>
      <c r="D11" s="136"/>
      <c r="E11" s="136"/>
      <c r="F11" s="136"/>
      <c r="G11" s="136"/>
      <c r="H11" s="136"/>
      <c r="I11" s="137"/>
      <c r="K11" s="93"/>
      <c r="L11" s="94" t="s">
        <v>131</v>
      </c>
      <c r="M11" s="116">
        <f>SUM(Cashflow_TDH!E37:Y37)/SUM(Cashflow_TDH!E17:Y17)</f>
        <v>84.355646847516653</v>
      </c>
      <c r="N11" s="117" t="s">
        <v>140</v>
      </c>
      <c r="O11" s="89"/>
      <c r="P11" s="89"/>
      <c r="Q11" s="89"/>
      <c r="R11" s="89"/>
      <c r="S11" s="89"/>
      <c r="T11" s="89"/>
      <c r="U11" s="102"/>
      <c r="V11" s="133"/>
      <c r="W11" s="140" t="s">
        <v>187</v>
      </c>
      <c r="X11" s="138"/>
      <c r="Y11" s="138"/>
      <c r="Z11" s="138"/>
      <c r="AA11" s="138"/>
      <c r="AB11" s="138"/>
      <c r="AC11" s="138"/>
      <c r="AD11" s="138"/>
      <c r="AE11" s="138"/>
      <c r="AF11" s="138"/>
      <c r="AG11" s="139"/>
    </row>
    <row r="12" spans="2:33" x14ac:dyDescent="0.25">
      <c r="B12" s="93"/>
      <c r="C12" s="89"/>
      <c r="D12" s="89"/>
      <c r="E12" s="89"/>
      <c r="F12" s="89"/>
      <c r="G12" s="89"/>
      <c r="H12" s="89"/>
      <c r="I12" s="98"/>
      <c r="K12" s="93"/>
      <c r="L12" s="89"/>
      <c r="M12" s="89"/>
      <c r="N12" s="89"/>
      <c r="O12" s="89"/>
      <c r="P12" s="89"/>
      <c r="Q12" s="89"/>
      <c r="R12" s="89"/>
      <c r="S12" s="89"/>
      <c r="T12" s="89"/>
      <c r="U12" s="98"/>
      <c r="W12" s="93"/>
      <c r="X12" s="89"/>
      <c r="Y12" s="89"/>
      <c r="Z12" s="89"/>
      <c r="AA12" s="89"/>
      <c r="AB12" s="89"/>
      <c r="AC12" s="89"/>
      <c r="AD12" s="89"/>
      <c r="AE12" s="89"/>
      <c r="AF12" s="89"/>
      <c r="AG12" s="98"/>
    </row>
    <row r="13" spans="2:33" ht="15.75" x14ac:dyDescent="0.25">
      <c r="B13" s="93"/>
      <c r="C13" s="94" t="s">
        <v>90</v>
      </c>
      <c r="D13" s="96">
        <f>IF(Inputs!N5&gt;0,Inputs!N5,"")</f>
        <v>386</v>
      </c>
      <c r="E13" s="100" t="s">
        <v>114</v>
      </c>
      <c r="F13" s="89"/>
      <c r="G13" s="94" t="s">
        <v>113</v>
      </c>
      <c r="H13" s="116">
        <f>IF(Inputs!P5&gt;0,Inputs!P5,"")</f>
        <v>1.5595854922279793</v>
      </c>
      <c r="I13" s="108" t="s">
        <v>138</v>
      </c>
      <c r="K13" s="93"/>
      <c r="L13" s="94" t="s">
        <v>146</v>
      </c>
      <c r="M13" s="107">
        <f>Cashflow_TDH!AA39</f>
        <v>50439.202465773298</v>
      </c>
      <c r="N13" s="100" t="s">
        <v>35</v>
      </c>
      <c r="O13" s="89"/>
      <c r="P13" s="94" t="s">
        <v>175</v>
      </c>
      <c r="Q13" s="118">
        <f>Cashflow_TDH!AA66</f>
        <v>22240.268227604625</v>
      </c>
      <c r="R13" s="100" t="s">
        <v>35</v>
      </c>
      <c r="S13" s="89"/>
      <c r="T13" s="89"/>
      <c r="U13" s="98"/>
      <c r="W13" s="93"/>
      <c r="X13" s="94"/>
      <c r="Y13" s="94" t="s">
        <v>188</v>
      </c>
      <c r="Z13" s="95">
        <v>70</v>
      </c>
      <c r="AA13" s="117" t="s">
        <v>143</v>
      </c>
      <c r="AB13" s="89"/>
      <c r="AC13" s="94" t="s">
        <v>176</v>
      </c>
      <c r="AD13" s="118">
        <f>'Harvest Lvl'!AA66</f>
        <v>17280.019828575663</v>
      </c>
      <c r="AE13" s="100" t="s">
        <v>35</v>
      </c>
      <c r="AF13" s="89"/>
      <c r="AG13" s="98"/>
    </row>
    <row r="14" spans="2:33" ht="15.75" x14ac:dyDescent="0.25">
      <c r="B14" s="93"/>
      <c r="C14" s="94" t="s">
        <v>112</v>
      </c>
      <c r="D14" s="96">
        <f>IF(Inputs!O5&gt;0,Inputs!O5,"")</f>
        <v>602</v>
      </c>
      <c r="E14" s="117" t="s">
        <v>137</v>
      </c>
      <c r="F14" s="89"/>
      <c r="G14" s="94" t="s">
        <v>123</v>
      </c>
      <c r="H14" s="116">
        <f>IF(Inputs!R5&gt;0,Inputs!R5,"")</f>
        <v>0.37</v>
      </c>
      <c r="I14" s="119" t="s">
        <v>111</v>
      </c>
      <c r="K14" s="120"/>
      <c r="L14" s="121"/>
      <c r="M14" s="121"/>
      <c r="N14" s="121"/>
      <c r="O14" s="121"/>
      <c r="P14" s="121"/>
      <c r="Q14" s="121"/>
      <c r="R14" s="121"/>
      <c r="S14" s="121"/>
      <c r="T14" s="121"/>
      <c r="U14" s="122"/>
      <c r="W14" s="120"/>
      <c r="X14" s="121"/>
      <c r="Y14" s="121"/>
      <c r="Z14" s="121"/>
      <c r="AA14" s="121"/>
      <c r="AB14" s="121"/>
      <c r="AC14" s="121"/>
      <c r="AD14" s="121"/>
      <c r="AE14" s="121"/>
      <c r="AF14" s="121"/>
      <c r="AG14" s="122"/>
    </row>
    <row r="15" spans="2:33" ht="15.75" x14ac:dyDescent="0.25">
      <c r="B15" s="93"/>
      <c r="C15" s="94" t="s">
        <v>110</v>
      </c>
      <c r="D15" s="96">
        <f>IF(Inputs!Q5&gt;0,Inputs!Q5,"")</f>
        <v>45.8</v>
      </c>
      <c r="E15" s="100" t="s">
        <v>109</v>
      </c>
      <c r="F15" s="89"/>
      <c r="G15" s="94" t="s">
        <v>108</v>
      </c>
      <c r="H15" s="116">
        <f>IF(Inputs!S5&gt;0,Inputs!S5,"")</f>
        <v>19.3</v>
      </c>
      <c r="I15" s="108" t="s">
        <v>139</v>
      </c>
      <c r="K15" s="93"/>
      <c r="L15" s="89"/>
      <c r="M15" s="89"/>
      <c r="N15" s="89"/>
      <c r="O15" s="89"/>
      <c r="P15" s="89"/>
      <c r="Q15" s="89"/>
      <c r="R15" s="89"/>
      <c r="S15" s="89"/>
      <c r="T15" s="89"/>
      <c r="U15" s="98"/>
      <c r="W15" s="93"/>
      <c r="X15" s="89"/>
      <c r="Y15" s="89"/>
      <c r="Z15" s="89"/>
      <c r="AA15" s="89"/>
      <c r="AB15" s="89"/>
      <c r="AC15" s="89"/>
      <c r="AD15" s="89"/>
      <c r="AE15" s="89"/>
      <c r="AF15" s="89"/>
      <c r="AG15" s="98"/>
    </row>
    <row r="16" spans="2:33" ht="15.75" thickBot="1" x14ac:dyDescent="0.3">
      <c r="B16" s="112"/>
      <c r="C16" s="113"/>
      <c r="D16" s="113"/>
      <c r="E16" s="113"/>
      <c r="F16" s="113"/>
      <c r="G16" s="113"/>
      <c r="H16" s="113"/>
      <c r="I16" s="114"/>
      <c r="K16" s="93"/>
      <c r="L16" s="89"/>
      <c r="M16" s="89"/>
      <c r="N16" s="89"/>
      <c r="O16" s="89"/>
      <c r="P16" s="89"/>
      <c r="Q16" s="89"/>
      <c r="R16" s="89"/>
      <c r="S16" s="89"/>
      <c r="T16" s="89"/>
      <c r="U16" s="98"/>
      <c r="W16" s="93"/>
      <c r="X16" s="89"/>
      <c r="Y16" s="89"/>
      <c r="Z16" s="89"/>
      <c r="AA16" s="89"/>
      <c r="AB16" s="89"/>
      <c r="AC16" s="89"/>
      <c r="AD16" s="89"/>
      <c r="AE16" s="89"/>
      <c r="AF16" s="89"/>
      <c r="AG16" s="98"/>
    </row>
    <row r="17" spans="2:33" ht="12" customHeight="1" thickBot="1" x14ac:dyDescent="0.3">
      <c r="K17" s="93"/>
      <c r="L17" s="89"/>
      <c r="M17" s="89"/>
      <c r="N17" s="89"/>
      <c r="O17" s="89"/>
      <c r="P17" s="89"/>
      <c r="Q17" s="89"/>
      <c r="R17" s="89"/>
      <c r="S17" s="89"/>
      <c r="T17" s="89"/>
      <c r="U17" s="98"/>
      <c r="W17" s="93"/>
      <c r="X17" s="89"/>
      <c r="Y17" s="89"/>
      <c r="Z17" s="89"/>
      <c r="AA17" s="89"/>
      <c r="AB17" s="89"/>
      <c r="AC17" s="89"/>
      <c r="AD17" s="89"/>
      <c r="AE17" s="89"/>
      <c r="AF17" s="89"/>
      <c r="AG17" s="98"/>
    </row>
    <row r="18" spans="2:33" ht="19.5" thickBot="1" x14ac:dyDescent="0.35">
      <c r="B18" s="140" t="s">
        <v>183</v>
      </c>
      <c r="C18" s="136"/>
      <c r="D18" s="136"/>
      <c r="E18" s="136"/>
      <c r="F18" s="136"/>
      <c r="G18" s="136"/>
      <c r="H18" s="136"/>
      <c r="I18" s="137"/>
      <c r="K18" s="93"/>
      <c r="L18" s="89"/>
      <c r="M18" s="89"/>
      <c r="N18" s="89"/>
      <c r="O18" s="89"/>
      <c r="P18" s="89"/>
      <c r="Q18" s="89"/>
      <c r="R18" s="89"/>
      <c r="S18" s="89"/>
      <c r="T18" s="89"/>
      <c r="U18" s="98"/>
      <c r="W18" s="93"/>
      <c r="X18" s="89"/>
      <c r="Y18" s="123"/>
      <c r="Z18" s="89"/>
      <c r="AA18" s="89"/>
      <c r="AB18" s="89"/>
      <c r="AC18" s="89"/>
      <c r="AD18" s="89"/>
      <c r="AE18" s="89"/>
      <c r="AF18" s="89"/>
      <c r="AG18" s="98"/>
    </row>
    <row r="19" spans="2:33" x14ac:dyDescent="0.25">
      <c r="B19" s="93"/>
      <c r="C19" s="89"/>
      <c r="D19" s="89"/>
      <c r="E19" s="89"/>
      <c r="F19" s="89"/>
      <c r="G19" s="89"/>
      <c r="H19" s="89"/>
      <c r="I19" s="98"/>
      <c r="K19" s="93"/>
      <c r="L19" s="89"/>
      <c r="M19" s="89"/>
      <c r="N19" s="89"/>
      <c r="O19" s="89"/>
      <c r="P19" s="89"/>
      <c r="Q19" s="89"/>
      <c r="R19" s="89"/>
      <c r="S19" s="89"/>
      <c r="T19" s="89"/>
      <c r="U19" s="98"/>
      <c r="W19" s="93"/>
      <c r="X19" s="89"/>
      <c r="Y19" s="89"/>
      <c r="Z19" s="89"/>
      <c r="AA19" s="89"/>
      <c r="AB19" s="89"/>
      <c r="AC19" s="89"/>
      <c r="AD19" s="89"/>
      <c r="AE19" s="89"/>
      <c r="AF19" s="89"/>
      <c r="AG19" s="98"/>
    </row>
    <row r="20" spans="2:33" ht="15.75" x14ac:dyDescent="0.25">
      <c r="B20" s="93"/>
      <c r="C20" s="94" t="s">
        <v>146</v>
      </c>
      <c r="D20" s="124">
        <f>HLOOKUP(Clearfelling!AC59,Clearfelling!E60:N65,6,FALSE)</f>
        <v>38945.437929787855</v>
      </c>
      <c r="E20" s="100" t="s">
        <v>35</v>
      </c>
      <c r="F20" s="89"/>
      <c r="G20" s="89"/>
      <c r="H20" s="89"/>
      <c r="I20" s="98"/>
      <c r="K20" s="93"/>
      <c r="L20" s="89"/>
      <c r="M20" s="89"/>
      <c r="N20" s="89"/>
      <c r="O20" s="89"/>
      <c r="P20" s="89"/>
      <c r="Q20" s="89"/>
      <c r="R20" s="89"/>
      <c r="S20" s="89"/>
      <c r="T20" s="89"/>
      <c r="U20" s="98"/>
      <c r="W20" s="93"/>
      <c r="X20" s="89"/>
      <c r="Y20" s="89"/>
      <c r="Z20" s="89"/>
      <c r="AA20" s="89"/>
      <c r="AB20" s="89"/>
      <c r="AC20" s="89"/>
      <c r="AD20" s="89"/>
      <c r="AE20" s="89"/>
      <c r="AF20" s="89"/>
      <c r="AG20" s="98"/>
    </row>
    <row r="21" spans="2:33" ht="15.75" x14ac:dyDescent="0.25">
      <c r="B21" s="93"/>
      <c r="C21" s="94" t="s">
        <v>174</v>
      </c>
      <c r="D21" s="118">
        <f>Clearfelling!AA58</f>
        <v>35606.916180847802</v>
      </c>
      <c r="E21" s="100" t="s">
        <v>35</v>
      </c>
      <c r="F21" s="94" t="s">
        <v>177</v>
      </c>
      <c r="G21" s="115">
        <f>Clearfelling!AC60</f>
        <v>25</v>
      </c>
      <c r="H21" s="89"/>
      <c r="I21" s="98"/>
      <c r="K21" s="93"/>
      <c r="L21" s="89"/>
      <c r="M21" s="89"/>
      <c r="N21" s="89"/>
      <c r="O21" s="89"/>
      <c r="P21" s="89"/>
      <c r="Q21" s="89"/>
      <c r="R21" s="89"/>
      <c r="S21" s="89"/>
      <c r="T21" s="89"/>
      <c r="U21" s="98"/>
      <c r="W21" s="93"/>
      <c r="X21" s="89"/>
      <c r="Y21" s="89"/>
      <c r="Z21" s="89"/>
      <c r="AA21" s="123"/>
      <c r="AB21" s="89"/>
      <c r="AC21" s="89"/>
      <c r="AD21" s="89"/>
      <c r="AE21" s="89"/>
      <c r="AF21" s="89"/>
      <c r="AG21" s="98"/>
    </row>
    <row r="22" spans="2:33" ht="15.75" x14ac:dyDescent="0.25">
      <c r="B22" s="93"/>
      <c r="C22" s="94" t="s">
        <v>107</v>
      </c>
      <c r="D22" s="124">
        <f>HLOOKUP(Clearfelling!AC59,Clearfelling!E60:N65,3,FALSE)</f>
        <v>601.80691999999999</v>
      </c>
      <c r="E22" s="117" t="s">
        <v>137</v>
      </c>
      <c r="F22" s="89"/>
      <c r="G22" s="125"/>
      <c r="H22" s="89"/>
      <c r="I22" s="98"/>
      <c r="K22" s="93"/>
      <c r="L22" s="89"/>
      <c r="M22" s="89"/>
      <c r="N22" s="89"/>
      <c r="O22" s="89"/>
      <c r="P22" s="89"/>
      <c r="Q22" s="89"/>
      <c r="R22" s="89"/>
      <c r="S22" s="89"/>
      <c r="T22" s="89"/>
      <c r="U22" s="98"/>
      <c r="W22" s="93"/>
      <c r="X22" s="89"/>
      <c r="Y22" s="123"/>
      <c r="Z22" s="89"/>
      <c r="AA22" s="89"/>
      <c r="AB22" s="89"/>
      <c r="AC22" s="89"/>
      <c r="AD22" s="89"/>
      <c r="AE22" s="89"/>
      <c r="AF22" s="89"/>
      <c r="AG22" s="98"/>
    </row>
    <row r="23" spans="2:33" ht="15.75" x14ac:dyDescent="0.25">
      <c r="B23" s="93"/>
      <c r="C23" s="94" t="s">
        <v>128</v>
      </c>
      <c r="D23" s="124">
        <f>HLOOKUP(Clearfelling!AC59,Clearfelling!E60:N65,4,FALSE)</f>
        <v>386.37985229492199</v>
      </c>
      <c r="E23" s="100" t="s">
        <v>114</v>
      </c>
      <c r="F23" s="89"/>
      <c r="G23" s="125"/>
      <c r="H23" s="89"/>
      <c r="I23" s="98"/>
      <c r="K23" s="93"/>
      <c r="L23" s="89"/>
      <c r="M23" s="89"/>
      <c r="N23" s="89"/>
      <c r="O23" s="89"/>
      <c r="P23" s="89"/>
      <c r="Q23" s="89"/>
      <c r="R23" s="89"/>
      <c r="S23" s="89"/>
      <c r="T23" s="89"/>
      <c r="U23" s="98"/>
      <c r="W23" s="93"/>
      <c r="X23" s="89"/>
      <c r="Y23" s="89"/>
      <c r="Z23" s="89"/>
      <c r="AA23" s="89"/>
      <c r="AB23" s="89"/>
      <c r="AC23" s="89"/>
      <c r="AD23" s="89"/>
      <c r="AE23" s="89"/>
      <c r="AF23" s="89"/>
      <c r="AG23" s="98"/>
    </row>
    <row r="24" spans="2:33" ht="17.25" x14ac:dyDescent="0.25">
      <c r="B24" s="93"/>
      <c r="C24" s="94" t="s">
        <v>106</v>
      </c>
      <c r="D24" s="124">
        <v>0</v>
      </c>
      <c r="E24" s="100" t="s">
        <v>114</v>
      </c>
      <c r="F24" s="94" t="s">
        <v>131</v>
      </c>
      <c r="G24" s="116">
        <f>HLOOKUP(Clearfelling!AC59,Clearfelling!E60:N65,5,FALSE)</f>
        <v>74.778826768658618</v>
      </c>
      <c r="H24" s="123" t="s">
        <v>133</v>
      </c>
      <c r="I24" s="98"/>
      <c r="K24" s="93"/>
      <c r="L24" s="89"/>
      <c r="M24" s="89"/>
      <c r="N24" s="89"/>
      <c r="O24" s="89"/>
      <c r="P24" s="89"/>
      <c r="Q24" s="89"/>
      <c r="R24" s="89"/>
      <c r="S24" s="89"/>
      <c r="T24" s="89"/>
      <c r="U24" s="98"/>
      <c r="W24" s="93"/>
      <c r="X24" s="89"/>
      <c r="Y24" s="89">
        <v>80</v>
      </c>
      <c r="Z24" s="89"/>
      <c r="AA24" s="89"/>
      <c r="AB24" s="89"/>
      <c r="AC24" s="89"/>
      <c r="AD24" s="89"/>
      <c r="AE24" s="89"/>
      <c r="AF24" s="89"/>
      <c r="AG24" s="98"/>
    </row>
    <row r="25" spans="2:33" x14ac:dyDescent="0.25">
      <c r="B25" s="93"/>
      <c r="C25" s="89"/>
      <c r="D25" s="89"/>
      <c r="E25" s="89"/>
      <c r="F25" s="89"/>
      <c r="G25" s="89"/>
      <c r="H25" s="89"/>
      <c r="I25" s="98"/>
      <c r="K25" s="93"/>
      <c r="L25" s="89"/>
      <c r="M25" s="89"/>
      <c r="N25" s="89"/>
      <c r="O25" s="89"/>
      <c r="P25" s="89"/>
      <c r="Q25" s="89"/>
      <c r="R25" s="89"/>
      <c r="S25" s="89"/>
      <c r="T25" s="89"/>
      <c r="U25" s="98"/>
      <c r="W25" s="93"/>
      <c r="X25" s="89"/>
      <c r="Y25" s="123"/>
      <c r="Z25" s="89"/>
      <c r="AA25" s="89"/>
      <c r="AB25" s="89"/>
      <c r="AC25" s="89"/>
      <c r="AD25" s="89"/>
      <c r="AE25" s="89"/>
      <c r="AF25" s="89"/>
      <c r="AG25" s="98"/>
    </row>
    <row r="26" spans="2:33" x14ac:dyDescent="0.25">
      <c r="B26" s="93"/>
      <c r="C26" s="89"/>
      <c r="D26" s="89"/>
      <c r="E26" s="89"/>
      <c r="F26" s="89"/>
      <c r="G26" s="89"/>
      <c r="H26" s="89"/>
      <c r="I26" s="98"/>
      <c r="K26" s="93"/>
      <c r="L26" s="89"/>
      <c r="M26" s="89"/>
      <c r="N26" s="89"/>
      <c r="O26" s="89"/>
      <c r="P26" s="89"/>
      <c r="Q26" s="89"/>
      <c r="R26" s="89"/>
      <c r="S26" s="89"/>
      <c r="T26" s="89"/>
      <c r="U26" s="98"/>
      <c r="W26" s="93"/>
      <c r="X26" s="89"/>
      <c r="Y26" s="89"/>
      <c r="Z26" s="89"/>
      <c r="AA26" s="89"/>
      <c r="AB26" s="89"/>
      <c r="AC26" s="89"/>
      <c r="AD26" s="89"/>
      <c r="AE26" s="89"/>
      <c r="AF26" s="89"/>
      <c r="AG26" s="98"/>
    </row>
    <row r="27" spans="2:33" x14ac:dyDescent="0.25">
      <c r="B27" s="93"/>
      <c r="C27" s="89"/>
      <c r="D27" s="89"/>
      <c r="E27" s="89"/>
      <c r="F27" s="89"/>
      <c r="G27" s="89"/>
      <c r="H27" s="89"/>
      <c r="I27" s="98"/>
      <c r="K27" s="93"/>
      <c r="L27" s="89"/>
      <c r="M27" s="89"/>
      <c r="N27" s="89"/>
      <c r="O27" s="89"/>
      <c r="P27" s="89"/>
      <c r="Q27" s="89"/>
      <c r="R27" s="89"/>
      <c r="S27" s="89"/>
      <c r="T27" s="89"/>
      <c r="U27" s="98"/>
      <c r="W27" s="93"/>
      <c r="X27" s="89"/>
      <c r="Y27" s="89"/>
      <c r="Z27" s="89"/>
      <c r="AA27" s="89"/>
      <c r="AB27" s="89"/>
      <c r="AC27" s="89"/>
      <c r="AD27" s="89"/>
      <c r="AE27" s="89"/>
      <c r="AF27" s="89"/>
      <c r="AG27" s="98"/>
    </row>
    <row r="28" spans="2:33" x14ac:dyDescent="0.25">
      <c r="B28" s="93"/>
      <c r="C28" s="89"/>
      <c r="D28" s="89"/>
      <c r="E28" s="89"/>
      <c r="F28" s="89"/>
      <c r="G28" s="89"/>
      <c r="H28" s="89"/>
      <c r="I28" s="98"/>
      <c r="K28" s="93"/>
      <c r="L28" s="89"/>
      <c r="M28" s="89"/>
      <c r="N28" s="89"/>
      <c r="O28" s="89"/>
      <c r="P28" s="89"/>
      <c r="Q28" s="89"/>
      <c r="R28" s="89"/>
      <c r="S28" s="89"/>
      <c r="T28" s="89"/>
      <c r="U28" s="98"/>
      <c r="W28" s="93"/>
      <c r="X28" s="89"/>
      <c r="Y28" s="89"/>
      <c r="Z28" s="89"/>
      <c r="AA28" s="89"/>
      <c r="AB28" s="89"/>
      <c r="AC28" s="89"/>
      <c r="AD28" s="89"/>
      <c r="AE28" s="89"/>
      <c r="AF28" s="89"/>
      <c r="AG28" s="98"/>
    </row>
    <row r="29" spans="2:33" x14ac:dyDescent="0.25">
      <c r="B29" s="93"/>
      <c r="C29" s="89"/>
      <c r="D29" s="89"/>
      <c r="E29" s="89"/>
      <c r="F29" s="89"/>
      <c r="G29" s="89"/>
      <c r="H29" s="89"/>
      <c r="I29" s="98"/>
      <c r="K29" s="93"/>
      <c r="L29" s="89"/>
      <c r="M29" s="89"/>
      <c r="N29" s="89"/>
      <c r="O29" s="89"/>
      <c r="P29" s="89"/>
      <c r="Q29" s="89"/>
      <c r="R29" s="89"/>
      <c r="S29" s="89"/>
      <c r="T29" s="89"/>
      <c r="U29" s="98"/>
      <c r="W29" s="93"/>
      <c r="X29" s="89"/>
      <c r="Y29" s="89"/>
      <c r="Z29" s="89"/>
      <c r="AA29" s="89"/>
      <c r="AB29" s="89"/>
      <c r="AC29" s="89"/>
      <c r="AD29" s="89"/>
      <c r="AE29" s="89"/>
      <c r="AF29" s="89"/>
      <c r="AG29" s="98"/>
    </row>
    <row r="30" spans="2:33" x14ac:dyDescent="0.25">
      <c r="B30" s="93"/>
      <c r="C30" s="89"/>
      <c r="D30" s="89"/>
      <c r="E30" s="89"/>
      <c r="F30" s="89"/>
      <c r="G30" s="89"/>
      <c r="H30" s="89"/>
      <c r="I30" s="98"/>
      <c r="K30" s="93"/>
      <c r="L30" s="89"/>
      <c r="M30" s="89"/>
      <c r="N30" s="89"/>
      <c r="O30" s="89"/>
      <c r="P30" s="89"/>
      <c r="Q30" s="89"/>
      <c r="R30" s="89"/>
      <c r="S30" s="89"/>
      <c r="T30" s="89"/>
      <c r="U30" s="98"/>
      <c r="W30" s="93"/>
      <c r="X30" s="89"/>
      <c r="Y30" s="89"/>
      <c r="Z30" s="89"/>
      <c r="AA30" s="89"/>
      <c r="AB30" s="89"/>
      <c r="AC30" s="89"/>
      <c r="AD30" s="89"/>
      <c r="AE30" s="89"/>
      <c r="AF30" s="89"/>
      <c r="AG30" s="98"/>
    </row>
    <row r="31" spans="2:33" x14ac:dyDescent="0.25">
      <c r="B31" s="93"/>
      <c r="C31" s="89"/>
      <c r="D31" s="89"/>
      <c r="E31" s="89"/>
      <c r="F31" s="89"/>
      <c r="G31" s="89"/>
      <c r="H31" s="89"/>
      <c r="I31" s="98"/>
      <c r="K31" s="93"/>
      <c r="L31" s="89"/>
      <c r="M31" s="89"/>
      <c r="N31" s="89"/>
      <c r="O31" s="89"/>
      <c r="P31" s="89"/>
      <c r="Q31" s="89"/>
      <c r="R31" s="89"/>
      <c r="S31" s="89"/>
      <c r="T31" s="89"/>
      <c r="U31" s="98"/>
      <c r="W31" s="93"/>
      <c r="X31" s="89"/>
      <c r="Y31" s="89"/>
      <c r="Z31" s="89"/>
      <c r="AA31" s="89"/>
      <c r="AB31" s="89"/>
      <c r="AC31" s="89"/>
      <c r="AD31" s="89"/>
      <c r="AE31" s="89"/>
      <c r="AF31" s="89"/>
      <c r="AG31" s="98"/>
    </row>
    <row r="32" spans="2:33" x14ac:dyDescent="0.25">
      <c r="B32" s="93"/>
      <c r="C32" s="89"/>
      <c r="D32" s="89"/>
      <c r="E32" s="89"/>
      <c r="F32" s="89"/>
      <c r="G32" s="89"/>
      <c r="H32" s="89"/>
      <c r="I32" s="98"/>
      <c r="K32" s="93"/>
      <c r="L32" s="89"/>
      <c r="M32" s="89"/>
      <c r="N32" s="89"/>
      <c r="O32" s="89"/>
      <c r="P32" s="89"/>
      <c r="Q32" s="89"/>
      <c r="R32" s="89"/>
      <c r="S32" s="89"/>
      <c r="T32" s="89"/>
      <c r="U32" s="98"/>
      <c r="W32" s="93"/>
      <c r="X32" s="89"/>
      <c r="Y32" s="89"/>
      <c r="Z32" s="89"/>
      <c r="AA32" s="89"/>
      <c r="AB32" s="89"/>
      <c r="AC32" s="89"/>
      <c r="AD32" s="89"/>
      <c r="AE32" s="89"/>
      <c r="AF32" s="89"/>
      <c r="AG32" s="98"/>
    </row>
    <row r="33" spans="2:33" x14ac:dyDescent="0.25">
      <c r="B33" s="93"/>
      <c r="C33" s="89"/>
      <c r="D33" s="89"/>
      <c r="E33" s="89"/>
      <c r="F33" s="89"/>
      <c r="G33" s="89"/>
      <c r="H33" s="89"/>
      <c r="I33" s="98"/>
      <c r="K33" s="93"/>
      <c r="L33" s="89"/>
      <c r="M33" s="89"/>
      <c r="N33" s="89"/>
      <c r="O33" s="89"/>
      <c r="P33" s="89"/>
      <c r="Q33" s="89"/>
      <c r="R33" s="89"/>
      <c r="S33" s="89"/>
      <c r="T33" s="89"/>
      <c r="U33" s="98"/>
      <c r="W33" s="93"/>
      <c r="X33" s="89"/>
      <c r="Y33" s="89"/>
      <c r="Z33" s="89"/>
      <c r="AA33" s="89"/>
      <c r="AB33" s="89"/>
      <c r="AC33" s="89"/>
      <c r="AD33" s="89"/>
      <c r="AE33" s="89"/>
      <c r="AF33" s="89"/>
      <c r="AG33" s="98"/>
    </row>
    <row r="34" spans="2:33" x14ac:dyDescent="0.25">
      <c r="B34" s="93"/>
      <c r="C34" s="89"/>
      <c r="D34" s="89"/>
      <c r="E34" s="89"/>
      <c r="F34" s="89"/>
      <c r="G34" s="89"/>
      <c r="H34" s="89"/>
      <c r="I34" s="98"/>
      <c r="K34" s="93"/>
      <c r="L34" s="89"/>
      <c r="M34" s="89"/>
      <c r="N34" s="89"/>
      <c r="O34" s="89"/>
      <c r="P34" s="89"/>
      <c r="Q34" s="89"/>
      <c r="R34" s="89"/>
      <c r="S34" s="89"/>
      <c r="T34" s="89"/>
      <c r="U34" s="98"/>
      <c r="W34" s="93"/>
      <c r="X34" s="89"/>
      <c r="Y34" s="89"/>
      <c r="Z34" s="89"/>
      <c r="AA34" s="89"/>
      <c r="AB34" s="89"/>
      <c r="AC34" s="89"/>
      <c r="AD34" s="89"/>
      <c r="AE34" s="89"/>
      <c r="AF34" s="89"/>
      <c r="AG34" s="98"/>
    </row>
    <row r="35" spans="2:33" x14ac:dyDescent="0.25">
      <c r="B35" s="93"/>
      <c r="C35" s="89"/>
      <c r="D35" s="89"/>
      <c r="E35" s="89"/>
      <c r="F35" s="89"/>
      <c r="G35" s="89"/>
      <c r="H35" s="89"/>
      <c r="I35" s="98"/>
      <c r="K35" s="93"/>
      <c r="L35" s="89"/>
      <c r="M35" s="89"/>
      <c r="N35" s="89"/>
      <c r="O35" s="89"/>
      <c r="P35" s="89"/>
      <c r="Q35" s="89"/>
      <c r="R35" s="89"/>
      <c r="S35" s="89"/>
      <c r="T35" s="89"/>
      <c r="U35" s="98"/>
      <c r="W35" s="93"/>
      <c r="X35" s="89"/>
      <c r="Y35" s="89"/>
      <c r="Z35" s="89"/>
      <c r="AA35" s="89"/>
      <c r="AB35" s="89"/>
      <c r="AC35" s="89"/>
      <c r="AD35" s="89"/>
      <c r="AE35" s="89"/>
      <c r="AF35" s="89"/>
      <c r="AG35" s="98"/>
    </row>
    <row r="36" spans="2:33" x14ac:dyDescent="0.25">
      <c r="B36" s="93"/>
      <c r="C36" s="89"/>
      <c r="D36" s="89"/>
      <c r="E36" s="89"/>
      <c r="F36" s="89"/>
      <c r="G36" s="89"/>
      <c r="H36" s="89"/>
      <c r="I36" s="98"/>
      <c r="K36" s="93"/>
      <c r="L36" s="89"/>
      <c r="M36" s="89"/>
      <c r="N36" s="89"/>
      <c r="O36" s="89"/>
      <c r="P36" s="89"/>
      <c r="Q36" s="89"/>
      <c r="R36" s="89"/>
      <c r="S36" s="89"/>
      <c r="T36" s="89"/>
      <c r="U36" s="98"/>
      <c r="W36" s="93"/>
      <c r="X36" s="89"/>
      <c r="Y36" s="89"/>
      <c r="Z36" s="89"/>
      <c r="AA36" s="89"/>
      <c r="AB36" s="89"/>
      <c r="AC36" s="89"/>
      <c r="AD36" s="89"/>
      <c r="AE36" s="89"/>
      <c r="AF36" s="89"/>
      <c r="AG36" s="98"/>
    </row>
    <row r="37" spans="2:33" ht="15.75" thickBot="1" x14ac:dyDescent="0.3">
      <c r="B37" s="93"/>
      <c r="C37" s="89"/>
      <c r="D37" s="89"/>
      <c r="E37" s="89"/>
      <c r="F37" s="89"/>
      <c r="G37" s="89"/>
      <c r="H37" s="89"/>
      <c r="I37" s="98"/>
      <c r="K37" s="112"/>
      <c r="L37" s="113"/>
      <c r="M37" s="113"/>
      <c r="N37" s="113"/>
      <c r="O37" s="113"/>
      <c r="P37" s="113"/>
      <c r="Q37" s="113"/>
      <c r="R37" s="113"/>
      <c r="S37" s="113"/>
      <c r="T37" s="113"/>
      <c r="U37" s="114"/>
      <c r="W37" s="120"/>
      <c r="X37" s="121"/>
      <c r="Y37" s="121"/>
      <c r="Z37" s="121"/>
      <c r="AA37" s="121"/>
      <c r="AB37" s="121"/>
      <c r="AC37" s="121"/>
      <c r="AD37" s="121"/>
      <c r="AE37" s="121"/>
      <c r="AF37" s="121"/>
      <c r="AG37" s="122"/>
    </row>
    <row r="38" spans="2:33" x14ac:dyDescent="0.25">
      <c r="B38" s="93"/>
      <c r="C38" s="89"/>
      <c r="D38" s="89"/>
      <c r="E38" s="89"/>
      <c r="F38" s="89"/>
      <c r="G38" s="89"/>
      <c r="H38" s="89"/>
      <c r="I38" s="98"/>
      <c r="K38" s="126" t="s">
        <v>186</v>
      </c>
      <c r="L38" s="87"/>
      <c r="M38" s="87"/>
      <c r="N38" s="87"/>
      <c r="O38" s="87"/>
      <c r="P38" s="87"/>
      <c r="Q38" s="87"/>
      <c r="R38" s="87"/>
      <c r="S38" s="87"/>
      <c r="T38" s="87"/>
      <c r="U38" s="88"/>
      <c r="W38" s="90"/>
      <c r="X38" s="91"/>
      <c r="Y38" s="91"/>
      <c r="Z38" s="91"/>
      <c r="AA38" s="91"/>
      <c r="AB38" s="91"/>
      <c r="AC38" s="91"/>
      <c r="AD38" s="91"/>
      <c r="AE38" s="91"/>
      <c r="AF38" s="91"/>
      <c r="AG38" s="92"/>
    </row>
    <row r="39" spans="2:33" ht="15" customHeight="1" x14ac:dyDescent="0.25">
      <c r="B39" s="93"/>
      <c r="C39" s="89"/>
      <c r="D39" s="89"/>
      <c r="E39" s="89"/>
      <c r="F39" s="89"/>
      <c r="G39" s="89"/>
      <c r="H39" s="89"/>
      <c r="I39" s="98"/>
      <c r="K39" s="241" t="s">
        <v>179</v>
      </c>
      <c r="L39" s="242"/>
      <c r="M39" s="242"/>
      <c r="N39" s="242"/>
      <c r="O39" s="242"/>
      <c r="P39" s="242"/>
      <c r="Q39" s="242"/>
      <c r="R39" s="242"/>
      <c r="S39" s="242"/>
      <c r="T39" s="242"/>
      <c r="U39" s="243"/>
      <c r="W39" s="93"/>
      <c r="X39" s="89"/>
      <c r="Y39" s="89"/>
      <c r="Z39" s="89"/>
      <c r="AA39" s="89"/>
      <c r="AB39" s="89"/>
      <c r="AC39" s="89"/>
      <c r="AD39" s="89"/>
      <c r="AE39" s="89"/>
      <c r="AF39" s="89"/>
      <c r="AG39" s="98"/>
    </row>
    <row r="40" spans="2:33" x14ac:dyDescent="0.25">
      <c r="B40" s="93"/>
      <c r="C40" s="89"/>
      <c r="D40" s="89"/>
      <c r="E40" s="89"/>
      <c r="F40" s="89"/>
      <c r="G40" s="89"/>
      <c r="H40" s="89"/>
      <c r="I40" s="98"/>
      <c r="K40" s="244"/>
      <c r="L40" s="245"/>
      <c r="M40" s="245"/>
      <c r="N40" s="245"/>
      <c r="O40" s="245"/>
      <c r="P40" s="245"/>
      <c r="Q40" s="245"/>
      <c r="R40" s="245"/>
      <c r="S40" s="245"/>
      <c r="T40" s="245"/>
      <c r="U40" s="246"/>
      <c r="W40" s="93"/>
      <c r="X40" s="89"/>
      <c r="Y40" s="89"/>
      <c r="Z40" s="89"/>
      <c r="AA40" s="89"/>
      <c r="AB40" s="89"/>
      <c r="AC40" s="89"/>
      <c r="AD40" s="89"/>
      <c r="AE40" s="89"/>
      <c r="AF40" s="89"/>
      <c r="AG40" s="98"/>
    </row>
    <row r="41" spans="2:33" ht="15.75" thickBot="1" x14ac:dyDescent="0.3">
      <c r="B41" s="112"/>
      <c r="C41" s="113"/>
      <c r="D41" s="113"/>
      <c r="E41" s="113"/>
      <c r="F41" s="113"/>
      <c r="G41" s="113"/>
      <c r="H41" s="113"/>
      <c r="I41" s="114"/>
      <c r="K41" s="127" t="s">
        <v>180</v>
      </c>
      <c r="L41" s="128"/>
      <c r="M41" s="128"/>
      <c r="N41" s="128"/>
      <c r="O41" s="128"/>
      <c r="P41" s="128"/>
      <c r="Q41" s="128"/>
      <c r="R41" s="128"/>
      <c r="S41" s="128"/>
      <c r="T41" s="247"/>
      <c r="U41" s="248"/>
      <c r="W41" s="112"/>
      <c r="X41" s="113"/>
      <c r="Y41" s="113"/>
      <c r="Z41" s="113"/>
      <c r="AA41" s="113"/>
      <c r="AB41" s="113"/>
      <c r="AC41" s="113"/>
      <c r="AD41" s="113"/>
      <c r="AE41" s="113"/>
      <c r="AF41" s="113"/>
      <c r="AG41" s="114"/>
    </row>
  </sheetData>
  <sheetProtection algorithmName="SHA-512" hashValue="ImtmI/uaiPTQUjx4/zQe22kFW3Cmndj4wqZPjbZOn9+MTt/G5278A+vSC4GCEUUlod9XgBSV5ZbS9fsp7vzh4A==" saltValue="hndU8Mx8a1fHAWiVGa5eJA==" spinCount="100000" sheet="1" objects="1" scenarios="1" formatCells="0"/>
  <mergeCells count="5">
    <mergeCell ref="W2:AG4"/>
    <mergeCell ref="K39:U40"/>
    <mergeCell ref="T41:U41"/>
    <mergeCell ref="W5:AG6"/>
    <mergeCell ref="W7:AG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Spinner 4">
              <controlPr defaultSize="0" autoPict="0">
                <anchor moveWithCells="1" sizeWithCells="1">
                  <from>
                    <xdr:col>4</xdr:col>
                    <xdr:colOff>28575</xdr:colOff>
                    <xdr:row>7</xdr:row>
                    <xdr:rowOff>19050</xdr:rowOff>
                  </from>
                  <to>
                    <xdr:col>4</xdr:col>
                    <xdr:colOff>200025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others!$C$3:$F$3</xm:f>
          </x14:formula1>
          <xm:sqref>D5</xm:sqref>
        </x14:dataValidation>
        <x14:dataValidation type="list" allowBlank="1" showInputMessage="1" showErrorMessage="1">
          <x14:formula1>
            <xm:f>others!$C$5:$D$5</xm:f>
          </x14:formula1>
          <xm:sqref>D7</xm:sqref>
        </x14:dataValidation>
        <x14:dataValidation type="list" allowBlank="1" showInputMessage="1" showErrorMessage="1">
          <x14:formula1>
            <xm:f>others!$C$4:$D$4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E174"/>
  <sheetViews>
    <sheetView topLeftCell="A85" zoomScale="90" zoomScaleNormal="90" workbookViewId="0"/>
  </sheetViews>
  <sheetFormatPr defaultRowHeight="15" x14ac:dyDescent="0.25"/>
  <cols>
    <col min="1" max="1" width="26.28515625" style="132" customWidth="1"/>
    <col min="2" max="2" width="5.85546875" style="216" customWidth="1"/>
    <col min="3" max="3" width="10.42578125" style="89" bestFit="1" customWidth="1"/>
    <col min="4" max="5" width="9.140625" style="89"/>
    <col min="6" max="6" width="10.85546875" style="89" customWidth="1"/>
    <col min="7" max="7" width="9.140625" style="89"/>
    <col min="8" max="8" width="9.42578125" style="89" customWidth="1"/>
    <col min="9" max="9" width="10" style="89" customWidth="1"/>
    <col min="10" max="12" width="9.140625" style="89"/>
    <col min="13" max="13" width="8.85546875" style="89" customWidth="1"/>
    <col min="14" max="14" width="9.7109375" style="89" customWidth="1"/>
    <col min="15" max="15" width="9.28515625" style="89" customWidth="1"/>
    <col min="16" max="16" width="9.7109375" style="89" customWidth="1"/>
    <col min="17" max="17" width="9.28515625" style="89" customWidth="1"/>
    <col min="18" max="18" width="9" style="89" customWidth="1"/>
    <col min="19" max="19" width="9.28515625" style="89" customWidth="1"/>
    <col min="20" max="20" width="9" style="89" customWidth="1"/>
    <col min="21" max="21" width="9.42578125" style="89" customWidth="1"/>
    <col min="22" max="22" width="7.85546875" style="89" customWidth="1"/>
    <col min="23" max="26" width="9.140625" style="89"/>
    <col min="27" max="27" width="9.140625" style="98"/>
    <col min="28" max="28" width="54.140625" style="132" customWidth="1"/>
    <col min="29" max="16384" width="9.140625" style="132"/>
  </cols>
  <sheetData>
    <row r="1" spans="2:31" ht="15.75" thickBot="1" x14ac:dyDescent="0.3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</row>
    <row r="2" spans="2:31" x14ac:dyDescent="0.25"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3"/>
      <c r="V2" s="144"/>
      <c r="W2" s="145"/>
      <c r="X2" s="146"/>
      <c r="Y2" s="146"/>
      <c r="Z2" s="146"/>
      <c r="AA2" s="147"/>
    </row>
    <row r="3" spans="2:31" x14ac:dyDescent="0.25">
      <c r="B3" s="148"/>
      <c r="C3" s="149"/>
      <c r="D3" s="149"/>
      <c r="E3" s="149"/>
      <c r="F3" s="149"/>
      <c r="G3" s="149"/>
      <c r="H3" s="150"/>
      <c r="I3" s="151"/>
      <c r="J3" s="258" t="s">
        <v>62</v>
      </c>
      <c r="K3" s="259"/>
      <c r="L3" s="259"/>
      <c r="M3" s="260"/>
      <c r="N3" s="261" t="s">
        <v>154</v>
      </c>
      <c r="O3" s="262"/>
      <c r="P3" s="262"/>
      <c r="Q3" s="262"/>
      <c r="R3" s="262"/>
      <c r="S3" s="263"/>
      <c r="U3" s="98"/>
      <c r="V3" s="144"/>
      <c r="W3" s="152"/>
      <c r="X3" s="153"/>
      <c r="Y3" s="153"/>
      <c r="Z3" s="153"/>
      <c r="AA3" s="154"/>
    </row>
    <row r="4" spans="2:31" s="163" customFormat="1" ht="28.5" customHeight="1" x14ac:dyDescent="0.25">
      <c r="B4" s="155"/>
      <c r="C4" s="156" t="s">
        <v>69</v>
      </c>
      <c r="D4" s="156" t="s">
        <v>75</v>
      </c>
      <c r="E4" s="156" t="s">
        <v>157</v>
      </c>
      <c r="F4" s="156" t="s">
        <v>63</v>
      </c>
      <c r="G4" s="156" t="s">
        <v>64</v>
      </c>
      <c r="H4" s="157" t="s">
        <v>65</v>
      </c>
      <c r="I4" s="158" t="s">
        <v>66</v>
      </c>
      <c r="J4" s="156" t="s">
        <v>1</v>
      </c>
      <c r="K4" s="156" t="s">
        <v>67</v>
      </c>
      <c r="L4" s="156" t="s">
        <v>68</v>
      </c>
      <c r="M4" s="156" t="s">
        <v>51</v>
      </c>
      <c r="N4" s="159" t="s">
        <v>150</v>
      </c>
      <c r="O4" s="160" t="s">
        <v>151</v>
      </c>
      <c r="P4" s="160" t="s">
        <v>152</v>
      </c>
      <c r="Q4" s="160" t="s">
        <v>153</v>
      </c>
      <c r="R4" s="160" t="s">
        <v>155</v>
      </c>
      <c r="S4" s="161" t="s">
        <v>156</v>
      </c>
      <c r="T4" s="99"/>
      <c r="U4" s="162"/>
      <c r="V4" s="144"/>
      <c r="W4" s="152"/>
      <c r="X4" s="153"/>
      <c r="Y4" s="153"/>
      <c r="Z4" s="153"/>
      <c r="AA4" s="154"/>
    </row>
    <row r="5" spans="2:31" s="163" customFormat="1" x14ac:dyDescent="0.25">
      <c r="B5" s="155"/>
      <c r="C5" s="164" t="s">
        <v>162</v>
      </c>
      <c r="D5" s="165"/>
      <c r="E5" s="164">
        <v>25</v>
      </c>
      <c r="F5" s="164" t="s">
        <v>76</v>
      </c>
      <c r="G5" s="165" t="s">
        <v>83</v>
      </c>
      <c r="H5" s="99">
        <v>15.6</v>
      </c>
      <c r="I5" s="166">
        <v>0</v>
      </c>
      <c r="J5" s="165"/>
      <c r="K5" s="164">
        <v>115</v>
      </c>
      <c r="L5" s="165"/>
      <c r="M5" s="164">
        <v>24</v>
      </c>
      <c r="N5" s="99">
        <v>386</v>
      </c>
      <c r="O5" s="99">
        <v>602</v>
      </c>
      <c r="P5" s="167">
        <v>1.5595854922279793</v>
      </c>
      <c r="Q5" s="99">
        <v>45.8</v>
      </c>
      <c r="R5" s="99">
        <v>0.37</v>
      </c>
      <c r="S5" s="99">
        <v>19.3</v>
      </c>
      <c r="T5" s="99"/>
      <c r="U5" s="162"/>
      <c r="V5" s="144"/>
      <c r="W5" s="152"/>
      <c r="X5" s="153"/>
      <c r="Y5" s="153"/>
      <c r="Z5" s="153"/>
      <c r="AA5" s="154"/>
      <c r="AB5" s="132"/>
      <c r="AC5" s="132"/>
      <c r="AD5" s="132"/>
      <c r="AE5" s="132"/>
    </row>
    <row r="6" spans="2:31" x14ac:dyDescent="0.25">
      <c r="B6" s="168"/>
      <c r="C6" s="99"/>
      <c r="D6" s="99"/>
      <c r="E6" s="99"/>
      <c r="F6" s="99"/>
      <c r="G6" s="99"/>
      <c r="H6" s="94"/>
      <c r="I6" s="169"/>
      <c r="J6" s="99"/>
      <c r="K6" s="99"/>
      <c r="L6" s="99"/>
      <c r="M6" s="99"/>
      <c r="N6" s="99"/>
      <c r="O6" s="99"/>
      <c r="P6" s="167"/>
      <c r="Q6" s="99"/>
      <c r="R6" s="99"/>
      <c r="S6" s="99"/>
      <c r="U6" s="98"/>
      <c r="V6" s="144"/>
      <c r="W6" s="152"/>
      <c r="X6" s="153"/>
      <c r="Y6" s="153"/>
      <c r="Z6" s="153"/>
      <c r="AA6" s="154"/>
    </row>
    <row r="7" spans="2:31" x14ac:dyDescent="0.25">
      <c r="B7" s="168"/>
      <c r="C7" s="99"/>
      <c r="D7" s="99"/>
      <c r="E7" s="99"/>
      <c r="F7" s="99"/>
      <c r="G7" s="99"/>
      <c r="H7" s="94"/>
      <c r="I7" s="169"/>
      <c r="J7" s="99"/>
      <c r="K7" s="99"/>
      <c r="L7" s="99"/>
      <c r="M7" s="99"/>
      <c r="N7" s="99"/>
      <c r="O7" s="99"/>
      <c r="P7" s="167"/>
      <c r="Q7" s="99"/>
      <c r="R7" s="99"/>
      <c r="S7" s="99"/>
      <c r="U7" s="98"/>
      <c r="V7" s="144"/>
      <c r="W7" s="152"/>
      <c r="X7" s="153"/>
      <c r="Y7" s="153"/>
      <c r="Z7" s="153"/>
      <c r="AA7" s="154"/>
    </row>
    <row r="8" spans="2:31" x14ac:dyDescent="0.25">
      <c r="B8" s="168"/>
      <c r="C8" s="170" t="s">
        <v>53</v>
      </c>
      <c r="D8" s="171" t="s">
        <v>44</v>
      </c>
      <c r="E8" s="99"/>
      <c r="F8" s="172" t="s">
        <v>29</v>
      </c>
      <c r="G8" s="173"/>
      <c r="H8" s="94"/>
      <c r="I8" s="172" t="s">
        <v>42</v>
      </c>
      <c r="J8" s="174"/>
      <c r="K8" s="175"/>
      <c r="L8" s="176"/>
      <c r="M8" s="99"/>
      <c r="N8" s="172" t="s">
        <v>49</v>
      </c>
      <c r="O8" s="174"/>
      <c r="P8" s="175"/>
      <c r="Q8" s="176"/>
      <c r="R8" s="99"/>
      <c r="S8" s="177" t="s">
        <v>164</v>
      </c>
      <c r="T8" s="178"/>
      <c r="U8" s="179"/>
      <c r="V8" s="144"/>
      <c r="W8" s="152"/>
      <c r="X8" s="153"/>
      <c r="Y8" s="153"/>
      <c r="Z8" s="153"/>
      <c r="AA8" s="154"/>
    </row>
    <row r="9" spans="2:31" x14ac:dyDescent="0.25">
      <c r="B9" s="168"/>
      <c r="C9" s="103" t="s">
        <v>1</v>
      </c>
      <c r="D9" s="180">
        <v>183.1</v>
      </c>
      <c r="E9" s="99"/>
      <c r="F9" s="181" t="s">
        <v>33</v>
      </c>
      <c r="G9" s="182" t="s">
        <v>37</v>
      </c>
      <c r="H9" s="94"/>
      <c r="I9" s="181" t="s">
        <v>33</v>
      </c>
      <c r="J9" s="183" t="s">
        <v>98</v>
      </c>
      <c r="K9" s="184" t="s">
        <v>99</v>
      </c>
      <c r="L9" s="185" t="s">
        <v>34</v>
      </c>
      <c r="M9" s="99"/>
      <c r="N9" s="181" t="s">
        <v>33</v>
      </c>
      <c r="O9" s="186" t="s">
        <v>98</v>
      </c>
      <c r="P9" s="186" t="s">
        <v>99</v>
      </c>
      <c r="Q9" s="185" t="s">
        <v>34</v>
      </c>
      <c r="R9" s="99"/>
      <c r="S9" s="181" t="s">
        <v>33</v>
      </c>
      <c r="T9" s="187" t="s">
        <v>35</v>
      </c>
      <c r="U9" s="188" t="s">
        <v>157</v>
      </c>
      <c r="V9" s="144"/>
      <c r="W9" s="152"/>
      <c r="X9" s="153"/>
      <c r="Y9" s="153"/>
      <c r="Z9" s="153"/>
      <c r="AA9" s="154"/>
    </row>
    <row r="10" spans="2:31" x14ac:dyDescent="0.25">
      <c r="B10" s="168"/>
      <c r="C10" s="103" t="s">
        <v>52</v>
      </c>
      <c r="D10" s="180">
        <v>140.1</v>
      </c>
      <c r="E10" s="99"/>
      <c r="F10" s="189" t="s">
        <v>36</v>
      </c>
      <c r="G10" s="190">
        <v>28</v>
      </c>
      <c r="H10" s="94"/>
      <c r="I10" s="191" t="s">
        <v>43</v>
      </c>
      <c r="J10" s="190">
        <v>55</v>
      </c>
      <c r="K10" s="190">
        <v>45</v>
      </c>
      <c r="L10" s="192" t="s">
        <v>44</v>
      </c>
      <c r="M10" s="99"/>
      <c r="N10" s="191" t="s">
        <v>50</v>
      </c>
      <c r="O10" s="193">
        <v>3000</v>
      </c>
      <c r="P10" s="193">
        <v>3000</v>
      </c>
      <c r="Q10" s="194" t="s">
        <v>35</v>
      </c>
      <c r="R10" s="99"/>
      <c r="S10" s="191" t="s">
        <v>173</v>
      </c>
      <c r="T10" s="195">
        <v>1050</v>
      </c>
      <c r="U10" s="196">
        <v>0</v>
      </c>
      <c r="V10" s="144"/>
      <c r="W10" s="152"/>
      <c r="X10" s="153"/>
      <c r="Y10" s="153"/>
      <c r="Z10" s="153"/>
      <c r="AA10" s="154"/>
    </row>
    <row r="11" spans="2:31" x14ac:dyDescent="0.25">
      <c r="B11" s="168"/>
      <c r="C11" s="103" t="s">
        <v>2</v>
      </c>
      <c r="D11" s="180">
        <v>139.69999999999999</v>
      </c>
      <c r="E11" s="99"/>
      <c r="F11" s="189" t="s">
        <v>38</v>
      </c>
      <c r="G11" s="190">
        <v>15</v>
      </c>
      <c r="H11" s="94"/>
      <c r="I11" s="191" t="s">
        <v>45</v>
      </c>
      <c r="J11" s="190">
        <v>42</v>
      </c>
      <c r="K11" s="190">
        <v>35</v>
      </c>
      <c r="L11" s="192" t="s">
        <v>44</v>
      </c>
      <c r="M11" s="99"/>
      <c r="N11" s="191" t="s">
        <v>38</v>
      </c>
      <c r="O11" s="197">
        <v>1</v>
      </c>
      <c r="P11" s="197">
        <v>1</v>
      </c>
      <c r="Q11" s="194" t="s">
        <v>44</v>
      </c>
      <c r="R11" s="99"/>
      <c r="S11" s="191" t="s">
        <v>165</v>
      </c>
      <c r="T11" s="195">
        <v>300</v>
      </c>
      <c r="U11" s="196">
        <v>2</v>
      </c>
      <c r="V11" s="144"/>
      <c r="W11" s="152"/>
      <c r="X11" s="153"/>
      <c r="Y11" s="153"/>
      <c r="Z11" s="153"/>
      <c r="AA11" s="154"/>
    </row>
    <row r="12" spans="2:31" x14ac:dyDescent="0.25">
      <c r="B12" s="168"/>
      <c r="C12" s="103" t="s">
        <v>3</v>
      </c>
      <c r="D12" s="180">
        <v>128.4</v>
      </c>
      <c r="E12" s="99"/>
      <c r="F12" s="189" t="s">
        <v>39</v>
      </c>
      <c r="G12" s="190">
        <v>20</v>
      </c>
      <c r="H12" s="94"/>
      <c r="I12" s="191" t="s">
        <v>46</v>
      </c>
      <c r="J12" s="190">
        <v>8</v>
      </c>
      <c r="K12" s="190">
        <v>5</v>
      </c>
      <c r="L12" s="192" t="s">
        <v>44</v>
      </c>
      <c r="M12" s="99"/>
      <c r="N12" s="99"/>
      <c r="O12" s="99"/>
      <c r="P12" s="167"/>
      <c r="Q12" s="99"/>
      <c r="R12" s="99"/>
      <c r="S12" s="191" t="s">
        <v>167</v>
      </c>
      <c r="T12" s="195">
        <v>950</v>
      </c>
      <c r="U12" s="196">
        <v>5</v>
      </c>
      <c r="V12" s="144"/>
      <c r="W12" s="152"/>
      <c r="X12" s="153"/>
      <c r="Y12" s="153"/>
      <c r="Z12" s="153"/>
      <c r="AA12" s="154"/>
    </row>
    <row r="13" spans="2:31" x14ac:dyDescent="0.25">
      <c r="B13" s="168"/>
      <c r="C13" s="103" t="s">
        <v>4</v>
      </c>
      <c r="D13" s="180">
        <v>116.4</v>
      </c>
      <c r="E13" s="99"/>
      <c r="F13" s="198" t="s">
        <v>40</v>
      </c>
      <c r="G13" s="199">
        <v>24</v>
      </c>
      <c r="H13" s="94"/>
      <c r="I13" s="191" t="s">
        <v>47</v>
      </c>
      <c r="J13" s="190">
        <v>0</v>
      </c>
      <c r="K13" s="190">
        <v>1</v>
      </c>
      <c r="L13" s="192" t="s">
        <v>44</v>
      </c>
      <c r="M13" s="99"/>
      <c r="N13" s="200" t="s">
        <v>54</v>
      </c>
      <c r="O13" s="201"/>
      <c r="R13" s="99"/>
      <c r="S13" s="191" t="s">
        <v>171</v>
      </c>
      <c r="T13" s="195">
        <v>1300</v>
      </c>
      <c r="U13" s="196">
        <v>7</v>
      </c>
      <c r="V13" s="144"/>
      <c r="W13" s="152"/>
      <c r="X13" s="153"/>
      <c r="Y13" s="153"/>
      <c r="Z13" s="153"/>
      <c r="AA13" s="154"/>
    </row>
    <row r="14" spans="2:31" x14ac:dyDescent="0.25">
      <c r="B14" s="168"/>
      <c r="C14" s="103" t="s">
        <v>5</v>
      </c>
      <c r="D14" s="180">
        <v>102.1</v>
      </c>
      <c r="E14" s="103"/>
      <c r="F14" s="202" t="s">
        <v>41</v>
      </c>
      <c r="G14" s="203">
        <f>SUM(G10:G13)</f>
        <v>87</v>
      </c>
      <c r="H14" s="103"/>
      <c r="I14" s="191" t="s">
        <v>96</v>
      </c>
      <c r="J14" s="190">
        <v>12.013</v>
      </c>
      <c r="K14" s="190">
        <v>10.013</v>
      </c>
      <c r="L14" s="192" t="s">
        <v>44</v>
      </c>
      <c r="M14" s="103"/>
      <c r="N14" s="189" t="s">
        <v>55</v>
      </c>
      <c r="O14" s="204">
        <v>1E-3</v>
      </c>
      <c r="R14" s="99"/>
      <c r="S14" s="191" t="s">
        <v>166</v>
      </c>
      <c r="T14" s="195">
        <v>850</v>
      </c>
      <c r="U14" s="196">
        <v>8</v>
      </c>
      <c r="V14" s="144"/>
      <c r="W14" s="152"/>
      <c r="X14" s="153"/>
      <c r="Y14" s="153"/>
      <c r="Z14" s="153"/>
      <c r="AA14" s="154"/>
    </row>
    <row r="15" spans="2:31" x14ac:dyDescent="0.25">
      <c r="B15" s="168"/>
      <c r="C15" s="103" t="s">
        <v>51</v>
      </c>
      <c r="D15" s="180">
        <v>54</v>
      </c>
      <c r="E15" s="103"/>
      <c r="F15" s="191" t="s">
        <v>30</v>
      </c>
      <c r="G15" s="190">
        <v>10</v>
      </c>
      <c r="H15" s="103"/>
      <c r="I15" s="191" t="s">
        <v>48</v>
      </c>
      <c r="J15" s="190">
        <v>0.158</v>
      </c>
      <c r="K15" s="190">
        <v>0.158</v>
      </c>
      <c r="L15" s="192" t="s">
        <v>44</v>
      </c>
      <c r="M15" s="103"/>
      <c r="N15" s="189" t="s">
        <v>97</v>
      </c>
      <c r="O15" s="205">
        <v>1</v>
      </c>
      <c r="R15" s="99"/>
      <c r="U15" s="98"/>
      <c r="V15" s="144"/>
      <c r="W15" s="152"/>
      <c r="X15" s="153"/>
      <c r="Y15" s="153"/>
      <c r="Z15" s="153"/>
      <c r="AA15" s="154"/>
    </row>
    <row r="16" spans="2:31" x14ac:dyDescent="0.25">
      <c r="B16" s="168"/>
      <c r="C16" s="103"/>
      <c r="D16" s="103"/>
      <c r="E16" s="103"/>
      <c r="F16" s="206"/>
      <c r="G16" s="206"/>
      <c r="H16" s="103"/>
      <c r="I16" s="103"/>
      <c r="J16" s="103"/>
      <c r="K16" s="103"/>
      <c r="L16" s="103"/>
      <c r="M16" s="103"/>
      <c r="R16" s="99"/>
      <c r="S16" s="99"/>
      <c r="U16" s="98"/>
      <c r="V16" s="144"/>
      <c r="W16" s="152"/>
      <c r="X16" s="153"/>
      <c r="Y16" s="153"/>
      <c r="Z16" s="153"/>
      <c r="AA16" s="154"/>
    </row>
    <row r="17" spans="2:27" x14ac:dyDescent="0.25">
      <c r="B17" s="168"/>
      <c r="C17" s="103"/>
      <c r="D17" s="103"/>
      <c r="E17" s="103"/>
      <c r="F17" s="207" t="s">
        <v>178</v>
      </c>
      <c r="G17" s="208">
        <v>70</v>
      </c>
      <c r="H17" s="103"/>
      <c r="I17" s="103"/>
      <c r="J17" s="103"/>
      <c r="K17" s="103"/>
      <c r="L17" s="103"/>
      <c r="M17" s="103"/>
      <c r="R17" s="99"/>
      <c r="S17" s="99"/>
      <c r="U17" s="98"/>
      <c r="V17" s="144"/>
      <c r="W17" s="152"/>
      <c r="X17" s="153"/>
      <c r="Y17" s="153"/>
      <c r="Z17" s="153"/>
      <c r="AA17" s="154"/>
    </row>
    <row r="18" spans="2:27" ht="15.75" thickBot="1" x14ac:dyDescent="0.3">
      <c r="B18" s="209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1"/>
      <c r="R18" s="211"/>
      <c r="S18" s="211"/>
      <c r="T18" s="113"/>
      <c r="U18" s="114"/>
      <c r="V18" s="144"/>
      <c r="W18" s="127"/>
      <c r="X18" s="212"/>
      <c r="Y18" s="212"/>
      <c r="Z18" s="212"/>
      <c r="AA18" s="213"/>
    </row>
    <row r="19" spans="2:27" x14ac:dyDescent="0.25"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163"/>
      <c r="R19" s="163"/>
      <c r="S19" s="163"/>
      <c r="T19" s="132"/>
      <c r="U19" s="132"/>
      <c r="V19" s="132"/>
      <c r="W19" s="132"/>
      <c r="X19" s="132"/>
      <c r="Y19" s="132"/>
      <c r="Z19" s="132"/>
      <c r="AA19" s="132"/>
    </row>
    <row r="20" spans="2:27" ht="15.75" thickBot="1" x14ac:dyDescent="0.3"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163"/>
      <c r="R20" s="163"/>
      <c r="S20" s="163"/>
      <c r="T20" s="132"/>
      <c r="U20" s="132"/>
      <c r="V20" s="132"/>
      <c r="W20" s="132"/>
      <c r="X20" s="132"/>
      <c r="Y20" s="132"/>
      <c r="Z20" s="132"/>
      <c r="AA20" s="132"/>
    </row>
    <row r="21" spans="2:27" s="215" customFormat="1" ht="28.5" customHeight="1" x14ac:dyDescent="0.25">
      <c r="B21" s="227" t="s">
        <v>78</v>
      </c>
      <c r="C21" s="228" t="s">
        <v>69</v>
      </c>
      <c r="D21" s="228" t="s">
        <v>80</v>
      </c>
      <c r="E21" s="228" t="s">
        <v>77</v>
      </c>
      <c r="F21" s="229" t="s">
        <v>79</v>
      </c>
      <c r="G21" s="230">
        <v>1</v>
      </c>
      <c r="H21" s="230">
        <v>2</v>
      </c>
      <c r="I21" s="230">
        <v>3</v>
      </c>
      <c r="J21" s="230">
        <v>4</v>
      </c>
      <c r="K21" s="230">
        <v>5</v>
      </c>
      <c r="L21" s="230">
        <v>6</v>
      </c>
      <c r="M21" s="230">
        <v>7</v>
      </c>
      <c r="N21" s="230">
        <v>8</v>
      </c>
      <c r="O21" s="230">
        <v>9</v>
      </c>
      <c r="P21" s="230">
        <v>10</v>
      </c>
      <c r="Q21" s="230">
        <v>11</v>
      </c>
      <c r="R21" s="230">
        <v>12</v>
      </c>
      <c r="S21" s="230">
        <v>13</v>
      </c>
      <c r="T21" s="230">
        <v>14</v>
      </c>
      <c r="U21" s="230">
        <v>15</v>
      </c>
      <c r="V21" s="230">
        <v>16</v>
      </c>
      <c r="W21" s="230">
        <v>17</v>
      </c>
      <c r="X21" s="230">
        <v>18</v>
      </c>
      <c r="Y21" s="230">
        <v>19</v>
      </c>
      <c r="Z21" s="230">
        <v>20</v>
      </c>
      <c r="AA21" s="231" t="s">
        <v>91</v>
      </c>
    </row>
    <row r="22" spans="2:27" x14ac:dyDescent="0.25">
      <c r="B22" s="216" t="str">
        <f>C22&amp;D22&amp;E22&amp;F22</f>
        <v>C160Pruned</v>
      </c>
      <c r="C22" s="217" t="s">
        <v>162</v>
      </c>
      <c r="D22" s="218">
        <v>1</v>
      </c>
      <c r="E22" s="218">
        <v>60</v>
      </c>
      <c r="F22" s="217" t="s">
        <v>1</v>
      </c>
      <c r="G22" s="219">
        <v>18.595541666666669</v>
      </c>
      <c r="H22" s="219">
        <v>3.2415055555555554</v>
      </c>
      <c r="I22" s="219">
        <v>8.6494133333333334</v>
      </c>
      <c r="J22" s="219">
        <v>2.914738888888889</v>
      </c>
      <c r="K22" s="219">
        <v>0</v>
      </c>
      <c r="L22" s="219">
        <v>0</v>
      </c>
      <c r="M22" s="219">
        <v>10.272663888888891</v>
      </c>
      <c r="N22" s="219">
        <v>3.4343277777777783</v>
      </c>
      <c r="O22" s="219">
        <v>0</v>
      </c>
      <c r="P22" s="219">
        <v>0</v>
      </c>
      <c r="Q22" s="219">
        <v>5.9241727777777777</v>
      </c>
      <c r="R22" s="219">
        <v>3.0046777777777782</v>
      </c>
      <c r="S22" s="219">
        <v>9.0243108333333346</v>
      </c>
      <c r="T22" s="219">
        <v>13.847961111111113</v>
      </c>
      <c r="U22" s="219">
        <v>3.4609611111111112</v>
      </c>
      <c r="V22" s="219">
        <v>9.6645638888888907</v>
      </c>
      <c r="W22" s="219">
        <v>3.4961138888888894</v>
      </c>
      <c r="X22" s="219">
        <v>0</v>
      </c>
      <c r="Y22" s="219">
        <v>6.6857750000000005</v>
      </c>
      <c r="Z22" s="219">
        <v>3.1699222222222225</v>
      </c>
      <c r="AA22" s="220">
        <v>157.40152027777771</v>
      </c>
    </row>
    <row r="23" spans="2:27" x14ac:dyDescent="0.25">
      <c r="B23" s="216" t="str">
        <f t="shared" ref="B23:B86" si="0">C23&amp;D23&amp;E23&amp;F23</f>
        <v>C160AO</v>
      </c>
      <c r="C23" s="217" t="s">
        <v>162</v>
      </c>
      <c r="D23" s="218">
        <v>1</v>
      </c>
      <c r="E23" s="218">
        <v>60</v>
      </c>
      <c r="F23" s="217" t="s">
        <v>52</v>
      </c>
      <c r="G23" s="219">
        <v>0</v>
      </c>
      <c r="H23" s="219">
        <v>0</v>
      </c>
      <c r="I23" s="219">
        <v>0</v>
      </c>
      <c r="J23" s="219">
        <v>0</v>
      </c>
      <c r="K23" s="219">
        <v>0</v>
      </c>
      <c r="L23" s="219">
        <v>0</v>
      </c>
      <c r="M23" s="219">
        <v>0</v>
      </c>
      <c r="N23" s="219">
        <v>2.5999877777777778</v>
      </c>
      <c r="O23" s="219">
        <v>0</v>
      </c>
      <c r="P23" s="219">
        <v>0</v>
      </c>
      <c r="Q23" s="219">
        <v>0</v>
      </c>
      <c r="R23" s="219">
        <v>3.3603611111111111</v>
      </c>
      <c r="S23" s="219">
        <v>2.5798413888888891</v>
      </c>
      <c r="T23" s="219">
        <v>2.7098666666666666</v>
      </c>
      <c r="U23" s="219">
        <v>0</v>
      </c>
      <c r="V23" s="219">
        <v>0</v>
      </c>
      <c r="W23" s="219">
        <v>2.7066819444444445</v>
      </c>
      <c r="X23" s="219">
        <v>0</v>
      </c>
      <c r="Y23" s="219">
        <v>2.8006055555555558</v>
      </c>
      <c r="Z23" s="219">
        <v>0</v>
      </c>
      <c r="AA23" s="220">
        <v>18.212150833333332</v>
      </c>
    </row>
    <row r="24" spans="2:27" x14ac:dyDescent="0.25">
      <c r="B24" s="216" t="str">
        <f t="shared" si="0"/>
        <v>C160A</v>
      </c>
      <c r="C24" s="217" t="s">
        <v>162</v>
      </c>
      <c r="D24" s="218">
        <v>1</v>
      </c>
      <c r="E24" s="218">
        <v>60</v>
      </c>
      <c r="F24" s="217" t="s">
        <v>2</v>
      </c>
      <c r="G24" s="219">
        <v>16.082934444444444</v>
      </c>
      <c r="H24" s="219">
        <v>3.5155252777777783</v>
      </c>
      <c r="I24" s="219">
        <v>2.6824891666666666</v>
      </c>
      <c r="J24" s="219">
        <v>3.7557613888888888</v>
      </c>
      <c r="K24" s="219">
        <v>0</v>
      </c>
      <c r="L24" s="219">
        <v>0</v>
      </c>
      <c r="M24" s="219">
        <v>8.6487211111111115</v>
      </c>
      <c r="N24" s="219">
        <v>1.3845366666666667</v>
      </c>
      <c r="O24" s="219">
        <v>6.2094138888888892</v>
      </c>
      <c r="P24" s="219">
        <v>0</v>
      </c>
      <c r="Q24" s="219">
        <v>2.9880944444444446</v>
      </c>
      <c r="R24" s="219">
        <v>3.3090658333333334</v>
      </c>
      <c r="S24" s="219">
        <v>8.2514827777777793</v>
      </c>
      <c r="T24" s="219">
        <v>9.7428069444444443</v>
      </c>
      <c r="U24" s="219">
        <v>9.1276850000000014</v>
      </c>
      <c r="V24" s="219">
        <v>10.479273888888889</v>
      </c>
      <c r="W24" s="219">
        <v>1.2767383333333333</v>
      </c>
      <c r="X24" s="219">
        <v>2.4611638888888892</v>
      </c>
      <c r="Y24" s="219">
        <v>6.0671691666666678</v>
      </c>
      <c r="Z24" s="219">
        <v>5.3962824999999999</v>
      </c>
      <c r="AA24" s="220">
        <v>190.68138472222222</v>
      </c>
    </row>
    <row r="25" spans="2:27" x14ac:dyDescent="0.25">
      <c r="B25" s="216" t="str">
        <f t="shared" si="0"/>
        <v>C160K</v>
      </c>
      <c r="C25" s="217" t="s">
        <v>162</v>
      </c>
      <c r="D25" s="218">
        <v>1</v>
      </c>
      <c r="E25" s="218">
        <v>60</v>
      </c>
      <c r="F25" s="217" t="s">
        <v>3</v>
      </c>
      <c r="G25" s="219">
        <v>1.9767286111111111</v>
      </c>
      <c r="H25" s="219">
        <v>0</v>
      </c>
      <c r="I25" s="219">
        <v>0</v>
      </c>
      <c r="J25" s="219">
        <v>0</v>
      </c>
      <c r="K25" s="219">
        <v>0</v>
      </c>
      <c r="L25" s="219">
        <v>0</v>
      </c>
      <c r="M25" s="219">
        <v>0</v>
      </c>
      <c r="N25" s="219">
        <v>0.95418611111111118</v>
      </c>
      <c r="O25" s="219">
        <v>0</v>
      </c>
      <c r="P25" s="219">
        <v>0</v>
      </c>
      <c r="Q25" s="219">
        <v>0</v>
      </c>
      <c r="R25" s="219">
        <v>0.96921333333333348</v>
      </c>
      <c r="S25" s="219">
        <v>0</v>
      </c>
      <c r="T25" s="219">
        <v>2.0934341666666669</v>
      </c>
      <c r="U25" s="219">
        <v>0.76609083333333339</v>
      </c>
      <c r="V25" s="219">
        <v>0.77529472222222229</v>
      </c>
      <c r="W25" s="219">
        <v>0.66678638888888897</v>
      </c>
      <c r="X25" s="219">
        <v>0</v>
      </c>
      <c r="Y25" s="219">
        <v>1.3084011111111111</v>
      </c>
      <c r="Z25" s="219">
        <v>1.3065158333333335</v>
      </c>
      <c r="AA25" s="220">
        <v>78.034273055555573</v>
      </c>
    </row>
    <row r="26" spans="2:27" x14ac:dyDescent="0.25">
      <c r="B26" s="216" t="str">
        <f t="shared" si="0"/>
        <v>C160KI</v>
      </c>
      <c r="C26" s="217" t="s">
        <v>162</v>
      </c>
      <c r="D26" s="218">
        <v>1</v>
      </c>
      <c r="E26" s="218">
        <v>60</v>
      </c>
      <c r="F26" s="217" t="s">
        <v>4</v>
      </c>
      <c r="G26" s="219">
        <v>16.278749444444443</v>
      </c>
      <c r="H26" s="219">
        <v>0.66217111111111115</v>
      </c>
      <c r="I26" s="219">
        <v>5.925043333333333</v>
      </c>
      <c r="J26" s="219">
        <v>8.9891777777777779</v>
      </c>
      <c r="K26" s="219">
        <v>0</v>
      </c>
      <c r="L26" s="219">
        <v>0</v>
      </c>
      <c r="M26" s="219">
        <v>6.2174836111111116</v>
      </c>
      <c r="N26" s="219">
        <v>0.54295749999999998</v>
      </c>
      <c r="O26" s="219">
        <v>10.036743888888889</v>
      </c>
      <c r="P26" s="219">
        <v>0</v>
      </c>
      <c r="Q26" s="219">
        <v>7.6430052777777782</v>
      </c>
      <c r="R26" s="219">
        <v>4.0032550000000011</v>
      </c>
      <c r="S26" s="219">
        <v>6.6924202777777779</v>
      </c>
      <c r="T26" s="219">
        <v>7.2609683333333335</v>
      </c>
      <c r="U26" s="219">
        <v>5.5251108333333336</v>
      </c>
      <c r="V26" s="219">
        <v>6.2912338888888888</v>
      </c>
      <c r="W26" s="219">
        <v>2.9998094444444443</v>
      </c>
      <c r="X26" s="219">
        <v>3.7277830555555558</v>
      </c>
      <c r="Y26" s="219">
        <v>3.0094180555555559</v>
      </c>
      <c r="Z26" s="219">
        <v>1.9090030555555557</v>
      </c>
      <c r="AA26" s="220">
        <v>165.78158361111113</v>
      </c>
    </row>
    <row r="27" spans="2:27" x14ac:dyDescent="0.25">
      <c r="B27" s="216" t="str">
        <f t="shared" si="0"/>
        <v>C160KIS</v>
      </c>
      <c r="C27" s="217" t="s">
        <v>162</v>
      </c>
      <c r="D27" s="218">
        <v>1</v>
      </c>
      <c r="E27" s="218">
        <v>60</v>
      </c>
      <c r="F27" s="217" t="s">
        <v>5</v>
      </c>
      <c r="G27" s="219">
        <v>0.39298972222222223</v>
      </c>
      <c r="H27" s="219">
        <v>0.58038833333333339</v>
      </c>
      <c r="I27" s="219">
        <v>0.93676894444444447</v>
      </c>
      <c r="J27" s="219">
        <v>1.3007730555555554</v>
      </c>
      <c r="K27" s="219">
        <v>0</v>
      </c>
      <c r="L27" s="219">
        <v>0</v>
      </c>
      <c r="M27" s="219">
        <v>0.48316833333333337</v>
      </c>
      <c r="N27" s="219">
        <v>0</v>
      </c>
      <c r="O27" s="219">
        <v>0.50132472222222224</v>
      </c>
      <c r="P27" s="219">
        <v>0</v>
      </c>
      <c r="Q27" s="219">
        <v>0</v>
      </c>
      <c r="R27" s="219">
        <v>0</v>
      </c>
      <c r="S27" s="219">
        <v>0.67605444444444451</v>
      </c>
      <c r="T27" s="219">
        <v>0</v>
      </c>
      <c r="U27" s="219">
        <v>0.55722111111111106</v>
      </c>
      <c r="V27" s="219">
        <v>0</v>
      </c>
      <c r="W27" s="219">
        <v>0.45402805555555553</v>
      </c>
      <c r="X27" s="219">
        <v>0</v>
      </c>
      <c r="Y27" s="219">
        <v>0</v>
      </c>
      <c r="Z27" s="219">
        <v>0</v>
      </c>
      <c r="AA27" s="220">
        <v>19.272307861111106</v>
      </c>
    </row>
    <row r="28" spans="2:27" x14ac:dyDescent="0.25">
      <c r="B28" s="216" t="str">
        <f t="shared" si="0"/>
        <v>C160Pulp</v>
      </c>
      <c r="C28" s="217" t="s">
        <v>162</v>
      </c>
      <c r="D28" s="218">
        <v>1</v>
      </c>
      <c r="E28" s="218">
        <v>60</v>
      </c>
      <c r="F28" s="217" t="s">
        <v>51</v>
      </c>
      <c r="G28" s="219">
        <v>0</v>
      </c>
      <c r="H28" s="219">
        <v>0</v>
      </c>
      <c r="I28" s="219">
        <v>0</v>
      </c>
      <c r="J28" s="219">
        <v>0.28047513888888892</v>
      </c>
      <c r="K28" s="219">
        <v>0</v>
      </c>
      <c r="L28" s="219">
        <v>0</v>
      </c>
      <c r="M28" s="219">
        <v>0</v>
      </c>
      <c r="N28" s="219">
        <v>0</v>
      </c>
      <c r="O28" s="219">
        <v>0</v>
      </c>
      <c r="P28" s="219">
        <v>0</v>
      </c>
      <c r="Q28" s="219">
        <v>0</v>
      </c>
      <c r="R28" s="219">
        <v>0</v>
      </c>
      <c r="S28" s="219">
        <v>0</v>
      </c>
      <c r="T28" s="219">
        <v>0.30771555555555558</v>
      </c>
      <c r="U28" s="219">
        <v>0</v>
      </c>
      <c r="V28" s="219">
        <v>0.3888180555555556</v>
      </c>
      <c r="W28" s="219">
        <v>0</v>
      </c>
      <c r="X28" s="219">
        <v>0</v>
      </c>
      <c r="Y28" s="219">
        <v>0</v>
      </c>
      <c r="Z28" s="219">
        <v>0</v>
      </c>
      <c r="AA28" s="220">
        <v>15.706220972222225</v>
      </c>
    </row>
    <row r="29" spans="2:27" x14ac:dyDescent="0.25">
      <c r="B29" s="216" t="str">
        <f t="shared" si="0"/>
        <v>C160TRV</v>
      </c>
      <c r="C29" s="217" t="s">
        <v>162</v>
      </c>
      <c r="D29" s="218">
        <v>1</v>
      </c>
      <c r="E29" s="218">
        <v>60</v>
      </c>
      <c r="F29" s="217" t="s">
        <v>74</v>
      </c>
      <c r="G29" s="219">
        <v>53.326943888888898</v>
      </c>
      <c r="H29" s="219">
        <v>7.9995902777777781</v>
      </c>
      <c r="I29" s="219">
        <v>18.193714777777778</v>
      </c>
      <c r="J29" s="219">
        <v>17.240926250000001</v>
      </c>
      <c r="K29" s="219">
        <v>0</v>
      </c>
      <c r="L29" s="219">
        <v>0</v>
      </c>
      <c r="M29" s="219">
        <v>25.622036944444446</v>
      </c>
      <c r="N29" s="219">
        <v>8.9159958333333336</v>
      </c>
      <c r="O29" s="219">
        <v>16.747482500000004</v>
      </c>
      <c r="P29" s="219">
        <v>0</v>
      </c>
      <c r="Q29" s="219">
        <v>16.555272500000001</v>
      </c>
      <c r="R29" s="219">
        <v>14.646573055555558</v>
      </c>
      <c r="S29" s="219">
        <v>27.22410972222222</v>
      </c>
      <c r="T29" s="219">
        <v>35.96275277777778</v>
      </c>
      <c r="U29" s="219">
        <v>19.437068888888891</v>
      </c>
      <c r="V29" s="219">
        <v>27.599184444444443</v>
      </c>
      <c r="W29" s="219">
        <v>11.600158055555559</v>
      </c>
      <c r="X29" s="219">
        <v>6.1889469444444449</v>
      </c>
      <c r="Y29" s="219">
        <v>19.871368888888888</v>
      </c>
      <c r="Z29" s="219">
        <v>11.781723611111111</v>
      </c>
      <c r="AA29" s="220">
        <v>645.08944133333353</v>
      </c>
    </row>
    <row r="30" spans="2:27" x14ac:dyDescent="0.25">
      <c r="B30" s="216" t="str">
        <f t="shared" si="0"/>
        <v>C160Stem/ha</v>
      </c>
      <c r="C30" s="217" t="s">
        <v>162</v>
      </c>
      <c r="D30" s="218">
        <v>1</v>
      </c>
      <c r="E30" s="218">
        <v>60</v>
      </c>
      <c r="F30" s="217" t="s">
        <v>85</v>
      </c>
      <c r="G30" s="219">
        <v>16.666666666666668</v>
      </c>
      <c r="H30" s="219">
        <v>2.7777777777777777</v>
      </c>
      <c r="I30" s="219">
        <v>8.3333333333333339</v>
      </c>
      <c r="J30" s="219">
        <v>5.5555555555555554</v>
      </c>
      <c r="K30" s="219">
        <v>0</v>
      </c>
      <c r="L30" s="219">
        <v>0</v>
      </c>
      <c r="M30" s="219">
        <v>8.3333333333333339</v>
      </c>
      <c r="N30" s="219">
        <v>2.7777777777777777</v>
      </c>
      <c r="O30" s="219">
        <v>5.5555555555555554</v>
      </c>
      <c r="P30" s="219">
        <v>0</v>
      </c>
      <c r="Q30" s="219">
        <v>5.5555555555555554</v>
      </c>
      <c r="R30" s="219">
        <v>5.5555555555555554</v>
      </c>
      <c r="S30" s="219">
        <v>8.3333333333333339</v>
      </c>
      <c r="T30" s="219">
        <v>11.111111111111111</v>
      </c>
      <c r="U30" s="219">
        <v>5.5555555555555554</v>
      </c>
      <c r="V30" s="219">
        <v>8.3333333333333339</v>
      </c>
      <c r="W30" s="219">
        <v>2.7777777777777777</v>
      </c>
      <c r="X30" s="219">
        <v>2.7777777777777777</v>
      </c>
      <c r="Y30" s="219">
        <v>5.5555555555555554</v>
      </c>
      <c r="Z30" s="219">
        <v>2.7777777777777777</v>
      </c>
      <c r="AA30" s="220">
        <v>275</v>
      </c>
    </row>
    <row r="31" spans="2:27" x14ac:dyDescent="0.25">
      <c r="B31" s="216" t="str">
        <f t="shared" si="0"/>
        <v>C155Pruned</v>
      </c>
      <c r="C31" s="221" t="s">
        <v>162</v>
      </c>
      <c r="D31" s="222">
        <v>1</v>
      </c>
      <c r="E31" s="222">
        <v>55</v>
      </c>
      <c r="F31" s="221" t="s">
        <v>1</v>
      </c>
      <c r="G31" s="223">
        <v>49.091145833333336</v>
      </c>
      <c r="H31" s="223">
        <v>8.113633611111112</v>
      </c>
      <c r="I31" s="223">
        <v>5.384009166666667</v>
      </c>
      <c r="J31" s="223">
        <v>12.437418611111111</v>
      </c>
      <c r="K31" s="223">
        <v>10.260914166666668</v>
      </c>
      <c r="L31" s="223">
        <v>13.52765388888889</v>
      </c>
      <c r="M31" s="223">
        <v>7.8875163888888888</v>
      </c>
      <c r="N31" s="223">
        <v>13.265616944444444</v>
      </c>
      <c r="O31" s="223">
        <v>11.714041666666668</v>
      </c>
      <c r="P31" s="223">
        <v>2.6121072222222224</v>
      </c>
      <c r="Q31" s="223">
        <v>0</v>
      </c>
      <c r="R31" s="223">
        <v>5.2360255555555559</v>
      </c>
      <c r="S31" s="223">
        <v>5.6358963888888889</v>
      </c>
      <c r="T31" s="223">
        <v>0</v>
      </c>
      <c r="U31" s="223">
        <v>5.9992305555555561</v>
      </c>
      <c r="V31" s="223">
        <v>2.9884083333333336</v>
      </c>
      <c r="W31" s="223">
        <v>0</v>
      </c>
      <c r="X31" s="223">
        <v>10.471495555555556</v>
      </c>
      <c r="Y31" s="223">
        <v>2.7112727777777779</v>
      </c>
      <c r="Z31" s="223">
        <v>0</v>
      </c>
      <c r="AA31" s="224">
        <v>73.676433055555563</v>
      </c>
    </row>
    <row r="32" spans="2:27" x14ac:dyDescent="0.25">
      <c r="B32" s="216" t="str">
        <f t="shared" si="0"/>
        <v>C155AO</v>
      </c>
      <c r="C32" s="221" t="s">
        <v>162</v>
      </c>
      <c r="D32" s="222">
        <v>1</v>
      </c>
      <c r="E32" s="222">
        <v>55</v>
      </c>
      <c r="F32" s="221" t="s">
        <v>52</v>
      </c>
      <c r="G32" s="223">
        <v>0</v>
      </c>
      <c r="H32" s="223">
        <v>0</v>
      </c>
      <c r="I32" s="223">
        <v>0</v>
      </c>
      <c r="J32" s="223">
        <v>0</v>
      </c>
      <c r="K32" s="223">
        <v>0</v>
      </c>
      <c r="L32" s="223">
        <v>0</v>
      </c>
      <c r="M32" s="223">
        <v>0</v>
      </c>
      <c r="N32" s="223">
        <v>0</v>
      </c>
      <c r="O32" s="223">
        <v>0</v>
      </c>
      <c r="P32" s="223">
        <v>0</v>
      </c>
      <c r="Q32" s="223">
        <v>0</v>
      </c>
      <c r="R32" s="223">
        <v>0</v>
      </c>
      <c r="S32" s="223">
        <v>0</v>
      </c>
      <c r="T32" s="223">
        <v>0</v>
      </c>
      <c r="U32" s="223">
        <v>0</v>
      </c>
      <c r="V32" s="223">
        <v>0</v>
      </c>
      <c r="W32" s="223">
        <v>0</v>
      </c>
      <c r="X32" s="223">
        <v>0</v>
      </c>
      <c r="Y32" s="223">
        <v>0</v>
      </c>
      <c r="Z32" s="223">
        <v>0</v>
      </c>
      <c r="AA32" s="224">
        <v>0</v>
      </c>
    </row>
    <row r="33" spans="2:27" x14ac:dyDescent="0.25">
      <c r="B33" s="216" t="str">
        <f t="shared" si="0"/>
        <v>C155A</v>
      </c>
      <c r="C33" s="221" t="s">
        <v>162</v>
      </c>
      <c r="D33" s="222">
        <v>1</v>
      </c>
      <c r="E33" s="222">
        <v>55</v>
      </c>
      <c r="F33" s="221" t="s">
        <v>2</v>
      </c>
      <c r="G33" s="223">
        <v>42.670590833333335</v>
      </c>
      <c r="H33" s="223">
        <v>7.2748972222222221</v>
      </c>
      <c r="I33" s="223">
        <v>8.2016977777777793</v>
      </c>
      <c r="J33" s="223">
        <v>12.763753611111111</v>
      </c>
      <c r="K33" s="223">
        <v>7.6767908333333343</v>
      </c>
      <c r="L33" s="223">
        <v>12.049645</v>
      </c>
      <c r="M33" s="223">
        <v>4.4960419444444453</v>
      </c>
      <c r="N33" s="223">
        <v>12.145280277777777</v>
      </c>
      <c r="O33" s="223">
        <v>9.8912661111111113</v>
      </c>
      <c r="P33" s="223">
        <v>2.8769844444444446</v>
      </c>
      <c r="Q33" s="223">
        <v>3.1537300000000004</v>
      </c>
      <c r="R33" s="223">
        <v>1.0248391666666667</v>
      </c>
      <c r="S33" s="223">
        <v>3.9287497222222223</v>
      </c>
      <c r="T33" s="223">
        <v>3.7545911111111114</v>
      </c>
      <c r="U33" s="223">
        <v>5.4483800000000002</v>
      </c>
      <c r="V33" s="223">
        <v>3.7428919444444451</v>
      </c>
      <c r="W33" s="223">
        <v>0</v>
      </c>
      <c r="X33" s="223">
        <v>12.977848055555558</v>
      </c>
      <c r="Y33" s="223">
        <v>1.4412322222222222</v>
      </c>
      <c r="Z33" s="223">
        <v>0</v>
      </c>
      <c r="AA33" s="224">
        <v>108.03012888888888</v>
      </c>
    </row>
    <row r="34" spans="2:27" x14ac:dyDescent="0.25">
      <c r="B34" s="216" t="str">
        <f t="shared" si="0"/>
        <v>C155K</v>
      </c>
      <c r="C34" s="221" t="s">
        <v>162</v>
      </c>
      <c r="D34" s="222">
        <v>1</v>
      </c>
      <c r="E34" s="222">
        <v>55</v>
      </c>
      <c r="F34" s="221" t="s">
        <v>3</v>
      </c>
      <c r="G34" s="223">
        <v>3.5507919444444438</v>
      </c>
      <c r="H34" s="223">
        <v>2.8455591666666664</v>
      </c>
      <c r="I34" s="223">
        <v>0</v>
      </c>
      <c r="J34" s="223">
        <v>3.2687280555555556</v>
      </c>
      <c r="K34" s="223">
        <v>0</v>
      </c>
      <c r="L34" s="223">
        <v>0.5248911111111112</v>
      </c>
      <c r="M34" s="223">
        <v>1.2110861111111113</v>
      </c>
      <c r="N34" s="223">
        <v>1.4901783333333332</v>
      </c>
      <c r="O34" s="223">
        <v>2.2341819444444444</v>
      </c>
      <c r="P34" s="223">
        <v>0</v>
      </c>
      <c r="Q34" s="223">
        <v>0</v>
      </c>
      <c r="R34" s="223">
        <v>0</v>
      </c>
      <c r="S34" s="223">
        <v>0.59547444444444442</v>
      </c>
      <c r="T34" s="223">
        <v>2.9286955555555556</v>
      </c>
      <c r="U34" s="223">
        <v>4.0473663888888893</v>
      </c>
      <c r="V34" s="223">
        <v>0.65621333333333332</v>
      </c>
      <c r="W34" s="223">
        <v>0</v>
      </c>
      <c r="X34" s="223">
        <v>1.9567188888888889</v>
      </c>
      <c r="Y34" s="223">
        <v>0</v>
      </c>
      <c r="Z34" s="223">
        <v>0</v>
      </c>
      <c r="AA34" s="224">
        <v>56.907675277777784</v>
      </c>
    </row>
    <row r="35" spans="2:27" x14ac:dyDescent="0.25">
      <c r="B35" s="216" t="str">
        <f t="shared" si="0"/>
        <v>C155KI</v>
      </c>
      <c r="C35" s="221" t="s">
        <v>162</v>
      </c>
      <c r="D35" s="222">
        <v>1</v>
      </c>
      <c r="E35" s="222">
        <v>55</v>
      </c>
      <c r="F35" s="221" t="s">
        <v>4</v>
      </c>
      <c r="G35" s="223">
        <v>43.188222777777781</v>
      </c>
      <c r="H35" s="223">
        <v>5.7280436111111115</v>
      </c>
      <c r="I35" s="223">
        <v>6.4923933333333341</v>
      </c>
      <c r="J35" s="223">
        <v>12.010526111111112</v>
      </c>
      <c r="K35" s="223">
        <v>9.5027808333333343</v>
      </c>
      <c r="L35" s="223">
        <v>8.6705244444444443</v>
      </c>
      <c r="M35" s="223">
        <v>5.805139722222223</v>
      </c>
      <c r="N35" s="223">
        <v>6.8409572222222215</v>
      </c>
      <c r="O35" s="223">
        <v>3.832565555555556</v>
      </c>
      <c r="P35" s="223">
        <v>1.5883219444444445</v>
      </c>
      <c r="Q35" s="223">
        <v>3.75841</v>
      </c>
      <c r="R35" s="223">
        <v>2.2310941666666668</v>
      </c>
      <c r="S35" s="223">
        <v>6.6478988888888892</v>
      </c>
      <c r="T35" s="223">
        <v>1.8086738888888889</v>
      </c>
      <c r="U35" s="223">
        <v>4.8729194444444452</v>
      </c>
      <c r="V35" s="223">
        <v>1.3843713888888889</v>
      </c>
      <c r="W35" s="223">
        <v>0</v>
      </c>
      <c r="X35" s="223">
        <v>5.3653513888888886</v>
      </c>
      <c r="Y35" s="223">
        <v>4.9919238888888886</v>
      </c>
      <c r="Z35" s="223">
        <v>0</v>
      </c>
      <c r="AA35" s="224">
        <v>83.95780666666667</v>
      </c>
    </row>
    <row r="36" spans="2:27" x14ac:dyDescent="0.25">
      <c r="B36" s="216" t="str">
        <f t="shared" si="0"/>
        <v>C155KIS</v>
      </c>
      <c r="C36" s="221" t="s">
        <v>162</v>
      </c>
      <c r="D36" s="222">
        <v>1</v>
      </c>
      <c r="E36" s="222">
        <v>55</v>
      </c>
      <c r="F36" s="221" t="s">
        <v>5</v>
      </c>
      <c r="G36" s="223">
        <v>3.4730250000000003</v>
      </c>
      <c r="H36" s="223">
        <v>2.5294516666666667</v>
      </c>
      <c r="I36" s="223">
        <v>0</v>
      </c>
      <c r="J36" s="223">
        <v>0</v>
      </c>
      <c r="K36" s="223">
        <v>0.48643861111111109</v>
      </c>
      <c r="L36" s="223">
        <v>1.8613369444444448</v>
      </c>
      <c r="M36" s="223">
        <v>2.5411305555555552</v>
      </c>
      <c r="N36" s="223">
        <v>2.0054175000000001</v>
      </c>
      <c r="O36" s="223">
        <v>0.33253833333333332</v>
      </c>
      <c r="P36" s="223">
        <v>0</v>
      </c>
      <c r="Q36" s="223">
        <v>0</v>
      </c>
      <c r="R36" s="223">
        <v>0</v>
      </c>
      <c r="S36" s="223">
        <v>0.40199638888888894</v>
      </c>
      <c r="T36" s="223">
        <v>1.1304336111111111</v>
      </c>
      <c r="U36" s="223">
        <v>1.0484100000000001</v>
      </c>
      <c r="V36" s="223">
        <v>0</v>
      </c>
      <c r="W36" s="223">
        <v>0</v>
      </c>
      <c r="X36" s="223">
        <v>0.82612111111111108</v>
      </c>
      <c r="Y36" s="223">
        <v>0</v>
      </c>
      <c r="Z36" s="223">
        <v>0</v>
      </c>
      <c r="AA36" s="224">
        <v>15.518510166666665</v>
      </c>
    </row>
    <row r="37" spans="2:27" x14ac:dyDescent="0.25">
      <c r="B37" s="216" t="str">
        <f t="shared" si="0"/>
        <v>C155Pulp</v>
      </c>
      <c r="C37" s="221" t="s">
        <v>162</v>
      </c>
      <c r="D37" s="222">
        <v>1</v>
      </c>
      <c r="E37" s="222">
        <v>55</v>
      </c>
      <c r="F37" s="221" t="s">
        <v>51</v>
      </c>
      <c r="G37" s="223">
        <v>1.3674045833333335</v>
      </c>
      <c r="H37" s="223">
        <v>0</v>
      </c>
      <c r="I37" s="223">
        <v>0.33112000000000003</v>
      </c>
      <c r="J37" s="223">
        <v>0</v>
      </c>
      <c r="K37" s="223">
        <v>2.0127341666666672</v>
      </c>
      <c r="L37" s="223">
        <v>0.29951491666666669</v>
      </c>
      <c r="M37" s="223">
        <v>0.10628619444444445</v>
      </c>
      <c r="N37" s="223">
        <v>0.27232727777777777</v>
      </c>
      <c r="O37" s="223">
        <v>0.17356294444444445</v>
      </c>
      <c r="P37" s="223">
        <v>0</v>
      </c>
      <c r="Q37" s="223">
        <v>0</v>
      </c>
      <c r="R37" s="223">
        <v>0</v>
      </c>
      <c r="S37" s="223">
        <v>0</v>
      </c>
      <c r="T37" s="223">
        <v>0.90219722222222221</v>
      </c>
      <c r="U37" s="223">
        <v>0</v>
      </c>
      <c r="V37" s="223">
        <v>0</v>
      </c>
      <c r="W37" s="223">
        <v>0</v>
      </c>
      <c r="X37" s="223">
        <v>1.2780627777777778</v>
      </c>
      <c r="Y37" s="223">
        <v>0</v>
      </c>
      <c r="Z37" s="223">
        <v>0</v>
      </c>
      <c r="AA37" s="224">
        <v>7.7685906666666673</v>
      </c>
    </row>
    <row r="38" spans="2:27" x14ac:dyDescent="0.25">
      <c r="B38" s="216" t="str">
        <f t="shared" si="0"/>
        <v>C155TRV</v>
      </c>
      <c r="C38" s="221" t="s">
        <v>162</v>
      </c>
      <c r="D38" s="222">
        <v>1</v>
      </c>
      <c r="E38" s="222">
        <v>55</v>
      </c>
      <c r="F38" s="221" t="s">
        <v>74</v>
      </c>
      <c r="G38" s="223">
        <v>143.34118097222225</v>
      </c>
      <c r="H38" s="223">
        <v>26.491585277777776</v>
      </c>
      <c r="I38" s="223">
        <v>20.409220277777781</v>
      </c>
      <c r="J38" s="223">
        <v>40.480426388888894</v>
      </c>
      <c r="K38" s="223">
        <v>29.939658611111113</v>
      </c>
      <c r="L38" s="223">
        <v>36.933566305555559</v>
      </c>
      <c r="M38" s="223">
        <v>22.047200916666668</v>
      </c>
      <c r="N38" s="223">
        <v>36.019777555555564</v>
      </c>
      <c r="O38" s="223">
        <v>28.178156555555553</v>
      </c>
      <c r="P38" s="223">
        <v>7.0774136111111119</v>
      </c>
      <c r="Q38" s="223">
        <v>6.91214</v>
      </c>
      <c r="R38" s="223">
        <v>8.4919588888888899</v>
      </c>
      <c r="S38" s="223">
        <v>17.210015833333333</v>
      </c>
      <c r="T38" s="223">
        <v>10.52459138888889</v>
      </c>
      <c r="U38" s="223">
        <v>21.416306388888891</v>
      </c>
      <c r="V38" s="223">
        <v>8.771885000000001</v>
      </c>
      <c r="W38" s="223">
        <v>0</v>
      </c>
      <c r="X38" s="223">
        <v>32.875597777777777</v>
      </c>
      <c r="Y38" s="223">
        <v>9.1444288888888892</v>
      </c>
      <c r="Z38" s="223">
        <v>0</v>
      </c>
      <c r="AA38" s="224">
        <v>345.85914472222225</v>
      </c>
    </row>
    <row r="39" spans="2:27" x14ac:dyDescent="0.25">
      <c r="B39" s="216" t="str">
        <f t="shared" si="0"/>
        <v>C155Stem/ha</v>
      </c>
      <c r="C39" s="221" t="s">
        <v>162</v>
      </c>
      <c r="D39" s="222">
        <v>1</v>
      </c>
      <c r="E39" s="222">
        <v>55</v>
      </c>
      <c r="F39" s="221" t="s">
        <v>85</v>
      </c>
      <c r="G39" s="223">
        <v>58.333333333333336</v>
      </c>
      <c r="H39" s="223">
        <v>11.111111111111111</v>
      </c>
      <c r="I39" s="223">
        <v>8.3333333333333339</v>
      </c>
      <c r="J39" s="223">
        <v>16.666666666666668</v>
      </c>
      <c r="K39" s="223">
        <v>13.888888888888889</v>
      </c>
      <c r="L39" s="223">
        <v>16.666666666666668</v>
      </c>
      <c r="M39" s="223">
        <v>8.3333333333333339</v>
      </c>
      <c r="N39" s="223">
        <v>13.888888888888889</v>
      </c>
      <c r="O39" s="223">
        <v>11.111111111111111</v>
      </c>
      <c r="P39" s="223">
        <v>2.7777777777777777</v>
      </c>
      <c r="Q39" s="223">
        <v>2.7777777777777777</v>
      </c>
      <c r="R39" s="223">
        <v>5.5555555555555554</v>
      </c>
      <c r="S39" s="223">
        <v>5.5555555555555554</v>
      </c>
      <c r="T39" s="223">
        <v>5.5555555555555554</v>
      </c>
      <c r="U39" s="223">
        <v>8.3333333333333339</v>
      </c>
      <c r="V39" s="223">
        <v>2.7777777777777777</v>
      </c>
      <c r="W39" s="223">
        <v>0</v>
      </c>
      <c r="X39" s="223">
        <v>11.111111111111111</v>
      </c>
      <c r="Y39" s="223">
        <v>2.7777777777777777</v>
      </c>
      <c r="Z39" s="223">
        <v>0</v>
      </c>
      <c r="AA39" s="224">
        <v>177.77777777777777</v>
      </c>
    </row>
    <row r="40" spans="2:27" x14ac:dyDescent="0.25">
      <c r="B40" s="216" t="str">
        <f t="shared" si="0"/>
        <v>C150Pruned</v>
      </c>
      <c r="C40" s="217" t="s">
        <v>162</v>
      </c>
      <c r="D40" s="218">
        <v>1</v>
      </c>
      <c r="E40" s="218">
        <v>50</v>
      </c>
      <c r="F40" s="217" t="s">
        <v>1</v>
      </c>
      <c r="G40" s="219">
        <v>121.59225916666668</v>
      </c>
      <c r="H40" s="219">
        <v>9.6214080555555554</v>
      </c>
      <c r="I40" s="219">
        <v>11.442257500000002</v>
      </c>
      <c r="J40" s="219">
        <v>6.0630099999999993</v>
      </c>
      <c r="K40" s="219">
        <v>2.4502458333333337</v>
      </c>
      <c r="L40" s="219">
        <v>4.2022272222222226</v>
      </c>
      <c r="M40" s="219">
        <v>6.752508333333334</v>
      </c>
      <c r="N40" s="219">
        <v>4.8260572222222216</v>
      </c>
      <c r="O40" s="219">
        <v>4.3907280555555559</v>
      </c>
      <c r="P40" s="219">
        <v>2.2167425000000001</v>
      </c>
      <c r="Q40" s="219">
        <v>0</v>
      </c>
      <c r="R40" s="219">
        <v>2.2376738888888892</v>
      </c>
      <c r="S40" s="219">
        <v>2.231543888888889</v>
      </c>
      <c r="T40" s="219">
        <v>4.9735716666666665</v>
      </c>
      <c r="U40" s="219">
        <v>0</v>
      </c>
      <c r="V40" s="219">
        <v>0</v>
      </c>
      <c r="W40" s="219">
        <v>1.7869516666666665</v>
      </c>
      <c r="X40" s="219">
        <v>2.5216808333333334</v>
      </c>
      <c r="Y40" s="219">
        <v>2.5154461111111113</v>
      </c>
      <c r="Z40" s="219">
        <v>2.5530447222222223</v>
      </c>
      <c r="AA40" s="220">
        <v>26.384466666666672</v>
      </c>
    </row>
    <row r="41" spans="2:27" x14ac:dyDescent="0.25">
      <c r="B41" s="216" t="str">
        <f t="shared" si="0"/>
        <v>C150AO</v>
      </c>
      <c r="C41" s="217" t="s">
        <v>162</v>
      </c>
      <c r="D41" s="218">
        <v>1</v>
      </c>
      <c r="E41" s="218">
        <v>50</v>
      </c>
      <c r="F41" s="217" t="s">
        <v>52</v>
      </c>
      <c r="G41" s="219">
        <v>0</v>
      </c>
      <c r="H41" s="219">
        <v>0</v>
      </c>
      <c r="I41" s="219">
        <v>0</v>
      </c>
      <c r="J41" s="219">
        <v>0</v>
      </c>
      <c r="K41" s="219">
        <v>0</v>
      </c>
      <c r="L41" s="219">
        <v>0</v>
      </c>
      <c r="M41" s="219">
        <v>0</v>
      </c>
      <c r="N41" s="219">
        <v>0</v>
      </c>
      <c r="O41" s="219">
        <v>0</v>
      </c>
      <c r="P41" s="219">
        <v>0</v>
      </c>
      <c r="Q41" s="219">
        <v>0</v>
      </c>
      <c r="R41" s="219">
        <v>0</v>
      </c>
      <c r="S41" s="219">
        <v>0</v>
      </c>
      <c r="T41" s="219">
        <v>0</v>
      </c>
      <c r="U41" s="219">
        <v>0</v>
      </c>
      <c r="V41" s="219">
        <v>0</v>
      </c>
      <c r="W41" s="219">
        <v>0</v>
      </c>
      <c r="X41" s="219">
        <v>0</v>
      </c>
      <c r="Y41" s="219">
        <v>0</v>
      </c>
      <c r="Z41" s="219">
        <v>0</v>
      </c>
      <c r="AA41" s="220">
        <v>0</v>
      </c>
    </row>
    <row r="42" spans="2:27" x14ac:dyDescent="0.25">
      <c r="B42" s="216" t="str">
        <f t="shared" si="0"/>
        <v>C150A</v>
      </c>
      <c r="C42" s="217" t="s">
        <v>162</v>
      </c>
      <c r="D42" s="218">
        <v>1</v>
      </c>
      <c r="E42" s="218">
        <v>50</v>
      </c>
      <c r="F42" s="217" t="s">
        <v>2</v>
      </c>
      <c r="G42" s="219">
        <v>90.220557222222197</v>
      </c>
      <c r="H42" s="219">
        <v>2.2887366666666669</v>
      </c>
      <c r="I42" s="219">
        <v>9.5632477777777769</v>
      </c>
      <c r="J42" s="219">
        <v>0</v>
      </c>
      <c r="K42" s="219">
        <v>2.3401477777777777</v>
      </c>
      <c r="L42" s="219">
        <v>2.9996272222222227</v>
      </c>
      <c r="M42" s="219">
        <v>2.941462222222222</v>
      </c>
      <c r="N42" s="219">
        <v>5.0324847222222218</v>
      </c>
      <c r="O42" s="219">
        <v>4.5177630555555552</v>
      </c>
      <c r="P42" s="219">
        <v>1.9208863888888892</v>
      </c>
      <c r="Q42" s="219">
        <v>2.3690225000000003</v>
      </c>
      <c r="R42" s="219">
        <v>1.3363030555555557</v>
      </c>
      <c r="S42" s="219">
        <v>2.4866061111111115</v>
      </c>
      <c r="T42" s="219">
        <v>2.5520866666666668</v>
      </c>
      <c r="U42" s="219">
        <v>0</v>
      </c>
      <c r="V42" s="219">
        <v>0</v>
      </c>
      <c r="W42" s="219">
        <v>0</v>
      </c>
      <c r="X42" s="219">
        <v>7.2687697222222223</v>
      </c>
      <c r="Y42" s="219">
        <v>3.49105</v>
      </c>
      <c r="Z42" s="219">
        <v>3.1190725000000001</v>
      </c>
      <c r="AA42" s="220">
        <v>49.54609722222223</v>
      </c>
    </row>
    <row r="43" spans="2:27" x14ac:dyDescent="0.25">
      <c r="B43" s="216" t="str">
        <f t="shared" si="0"/>
        <v>C150K</v>
      </c>
      <c r="C43" s="217" t="s">
        <v>162</v>
      </c>
      <c r="D43" s="218">
        <v>1</v>
      </c>
      <c r="E43" s="218">
        <v>50</v>
      </c>
      <c r="F43" s="217" t="s">
        <v>3</v>
      </c>
      <c r="G43" s="219">
        <v>24.383481111111109</v>
      </c>
      <c r="H43" s="219">
        <v>3.0775505555555553</v>
      </c>
      <c r="I43" s="219">
        <v>1.5055758333333333</v>
      </c>
      <c r="J43" s="219">
        <v>0.78048027777777784</v>
      </c>
      <c r="K43" s="219">
        <v>1.5022772222222223</v>
      </c>
      <c r="L43" s="219">
        <v>1.5039758333333335</v>
      </c>
      <c r="M43" s="219">
        <v>1.1971097222222222</v>
      </c>
      <c r="N43" s="219">
        <v>2.6925486111111114</v>
      </c>
      <c r="O43" s="219">
        <v>0.84941916666666661</v>
      </c>
      <c r="P43" s="219">
        <v>1.7093136111111111</v>
      </c>
      <c r="Q43" s="219">
        <v>1.2776180555555556</v>
      </c>
      <c r="R43" s="219">
        <v>0</v>
      </c>
      <c r="S43" s="219">
        <v>0</v>
      </c>
      <c r="T43" s="219">
        <v>0.75456861111111118</v>
      </c>
      <c r="U43" s="219">
        <v>0</v>
      </c>
      <c r="V43" s="219">
        <v>0</v>
      </c>
      <c r="W43" s="219">
        <v>0.87482944444444455</v>
      </c>
      <c r="X43" s="219">
        <v>2.5941816666666666</v>
      </c>
      <c r="Y43" s="219">
        <v>0.82438666666666671</v>
      </c>
      <c r="Z43" s="219">
        <v>1.346365</v>
      </c>
      <c r="AA43" s="220">
        <v>41.380940277777775</v>
      </c>
    </row>
    <row r="44" spans="2:27" x14ac:dyDescent="0.25">
      <c r="B44" s="216" t="str">
        <f t="shared" si="0"/>
        <v>C150KI</v>
      </c>
      <c r="C44" s="217" t="s">
        <v>162</v>
      </c>
      <c r="D44" s="218">
        <v>1</v>
      </c>
      <c r="E44" s="218">
        <v>50</v>
      </c>
      <c r="F44" s="217" t="s">
        <v>4</v>
      </c>
      <c r="G44" s="219">
        <v>94.150554444444452</v>
      </c>
      <c r="H44" s="219">
        <v>5.8431080555555557</v>
      </c>
      <c r="I44" s="219">
        <v>5.9097686111111116</v>
      </c>
      <c r="J44" s="219">
        <v>8.9524502777777784</v>
      </c>
      <c r="K44" s="219">
        <v>0.52041583333333341</v>
      </c>
      <c r="L44" s="219">
        <v>2.1286425000000002</v>
      </c>
      <c r="M44" s="219">
        <v>5.6337933333333341</v>
      </c>
      <c r="N44" s="219">
        <v>4.8047522222222225</v>
      </c>
      <c r="O44" s="219">
        <v>1.632980277777778</v>
      </c>
      <c r="P44" s="219">
        <v>1.0334649999999999</v>
      </c>
      <c r="Q44" s="219">
        <v>3.2062575</v>
      </c>
      <c r="R44" s="219">
        <v>1.9304336111111111</v>
      </c>
      <c r="S44" s="219">
        <v>1.4160550000000001</v>
      </c>
      <c r="T44" s="219">
        <v>2.8285661111111113</v>
      </c>
      <c r="U44" s="219">
        <v>0</v>
      </c>
      <c r="V44" s="219">
        <v>0</v>
      </c>
      <c r="W44" s="219">
        <v>1.6396527777777778</v>
      </c>
      <c r="X44" s="219">
        <v>3.1437894444444447</v>
      </c>
      <c r="Y44" s="219">
        <v>0</v>
      </c>
      <c r="Z44" s="219">
        <v>0.54045055555555555</v>
      </c>
      <c r="AA44" s="220">
        <v>42.655718055555546</v>
      </c>
    </row>
    <row r="45" spans="2:27" x14ac:dyDescent="0.25">
      <c r="B45" s="216" t="str">
        <f t="shared" si="0"/>
        <v>C150KIS</v>
      </c>
      <c r="C45" s="217" t="s">
        <v>162</v>
      </c>
      <c r="D45" s="218">
        <v>1</v>
      </c>
      <c r="E45" s="218">
        <v>50</v>
      </c>
      <c r="F45" s="217" t="s">
        <v>5</v>
      </c>
      <c r="G45" s="219">
        <v>15.109087361111115</v>
      </c>
      <c r="H45" s="219">
        <v>1.7448818888888888</v>
      </c>
      <c r="I45" s="219">
        <v>1.4717583333333333</v>
      </c>
      <c r="J45" s="219">
        <v>0.90448861111111101</v>
      </c>
      <c r="K45" s="219">
        <v>1.1693787500000001</v>
      </c>
      <c r="L45" s="219">
        <v>0.41283388888888894</v>
      </c>
      <c r="M45" s="219">
        <v>0</v>
      </c>
      <c r="N45" s="219">
        <v>0.77473888888888887</v>
      </c>
      <c r="O45" s="219">
        <v>0</v>
      </c>
      <c r="P45" s="219">
        <v>0</v>
      </c>
      <c r="Q45" s="219">
        <v>0.35438972222222226</v>
      </c>
      <c r="R45" s="219">
        <v>0</v>
      </c>
      <c r="S45" s="219">
        <v>0</v>
      </c>
      <c r="T45" s="219">
        <v>0.47926916666666669</v>
      </c>
      <c r="U45" s="219">
        <v>0</v>
      </c>
      <c r="V45" s="219">
        <v>0</v>
      </c>
      <c r="W45" s="219">
        <v>0</v>
      </c>
      <c r="X45" s="219">
        <v>0.80538194444444433</v>
      </c>
      <c r="Y45" s="219">
        <v>0</v>
      </c>
      <c r="Z45" s="219">
        <v>0</v>
      </c>
      <c r="AA45" s="220">
        <v>11.790257694444445</v>
      </c>
    </row>
    <row r="46" spans="2:27" x14ac:dyDescent="0.25">
      <c r="B46" s="216" t="str">
        <f t="shared" si="0"/>
        <v>C150Pulp</v>
      </c>
      <c r="C46" s="217" t="s">
        <v>162</v>
      </c>
      <c r="D46" s="218">
        <v>1</v>
      </c>
      <c r="E46" s="218">
        <v>50</v>
      </c>
      <c r="F46" s="217" t="s">
        <v>51</v>
      </c>
      <c r="G46" s="219">
        <v>5.0559654444444453</v>
      </c>
      <c r="H46" s="219">
        <v>0.51677572222222223</v>
      </c>
      <c r="I46" s="219">
        <v>0.12865494444444445</v>
      </c>
      <c r="J46" s="219">
        <v>0.5014096388888889</v>
      </c>
      <c r="K46" s="219">
        <v>1.0254623611111109</v>
      </c>
      <c r="L46" s="219">
        <v>0.47747333333333336</v>
      </c>
      <c r="M46" s="219">
        <v>0.31114333333333333</v>
      </c>
      <c r="N46" s="219">
        <v>0.12525255555555556</v>
      </c>
      <c r="O46" s="219">
        <v>0.38098847222222221</v>
      </c>
      <c r="P46" s="219">
        <v>0</v>
      </c>
      <c r="Q46" s="219">
        <v>0.15468158333333334</v>
      </c>
      <c r="R46" s="219">
        <v>0</v>
      </c>
      <c r="S46" s="219">
        <v>0</v>
      </c>
      <c r="T46" s="219">
        <v>0.28287083333333335</v>
      </c>
      <c r="U46" s="219">
        <v>0</v>
      </c>
      <c r="V46" s="219">
        <v>0</v>
      </c>
      <c r="W46" s="219">
        <v>0.87929833333333329</v>
      </c>
      <c r="X46" s="219">
        <v>0.18582499999999999</v>
      </c>
      <c r="Y46" s="219">
        <v>0</v>
      </c>
      <c r="Z46" s="219">
        <v>0</v>
      </c>
      <c r="AA46" s="220">
        <v>4.8635741388888887</v>
      </c>
    </row>
    <row r="47" spans="2:27" x14ac:dyDescent="0.25">
      <c r="B47" s="216" t="str">
        <f t="shared" si="0"/>
        <v>C150TRV</v>
      </c>
      <c r="C47" s="217" t="s">
        <v>162</v>
      </c>
      <c r="D47" s="218">
        <v>1</v>
      </c>
      <c r="E47" s="218">
        <v>50</v>
      </c>
      <c r="F47" s="217" t="s">
        <v>74</v>
      </c>
      <c r="G47" s="219">
        <v>350.5119047500001</v>
      </c>
      <c r="H47" s="219">
        <v>23.092460944444447</v>
      </c>
      <c r="I47" s="219">
        <v>30.021263000000001</v>
      </c>
      <c r="J47" s="219">
        <v>17.201838805555557</v>
      </c>
      <c r="K47" s="219">
        <v>9.0079277777777769</v>
      </c>
      <c r="L47" s="219">
        <v>11.724780000000001</v>
      </c>
      <c r="M47" s="219">
        <v>16.836016944444445</v>
      </c>
      <c r="N47" s="219">
        <v>18.255834222222223</v>
      </c>
      <c r="O47" s="219">
        <v>11.771879027777779</v>
      </c>
      <c r="P47" s="219">
        <v>6.8804075000000005</v>
      </c>
      <c r="Q47" s="219">
        <v>7.3619693611111119</v>
      </c>
      <c r="R47" s="219">
        <v>5.5044105555555554</v>
      </c>
      <c r="S47" s="219">
        <v>6.1342050000000006</v>
      </c>
      <c r="T47" s="219">
        <v>11.870933055555556</v>
      </c>
      <c r="U47" s="219">
        <v>0</v>
      </c>
      <c r="V47" s="219">
        <v>0</v>
      </c>
      <c r="W47" s="219">
        <v>5.1807322222222218</v>
      </c>
      <c r="X47" s="219">
        <v>16.519628611111109</v>
      </c>
      <c r="Y47" s="219">
        <v>6.8308827777777781</v>
      </c>
      <c r="Z47" s="219">
        <v>7.5589327777777777</v>
      </c>
      <c r="AA47" s="220">
        <v>176.62105405555559</v>
      </c>
    </row>
    <row r="48" spans="2:27" x14ac:dyDescent="0.25">
      <c r="B48" s="216" t="str">
        <f t="shared" si="0"/>
        <v>C150Stem/ha</v>
      </c>
      <c r="C48" s="217" t="s">
        <v>162</v>
      </c>
      <c r="D48" s="218">
        <v>1</v>
      </c>
      <c r="E48" s="218">
        <v>50</v>
      </c>
      <c r="F48" s="217" t="s">
        <v>85</v>
      </c>
      <c r="G48" s="219">
        <v>166.66666666666669</v>
      </c>
      <c r="H48" s="219">
        <v>11.111111111111111</v>
      </c>
      <c r="I48" s="219">
        <v>16.666666666666668</v>
      </c>
      <c r="J48" s="219">
        <v>11.111111111111111</v>
      </c>
      <c r="K48" s="219">
        <v>5.5555555555555554</v>
      </c>
      <c r="L48" s="219">
        <v>5.5555555555555554</v>
      </c>
      <c r="M48" s="219">
        <v>8.3333333333333339</v>
      </c>
      <c r="N48" s="219">
        <v>8.3333333333333339</v>
      </c>
      <c r="O48" s="219">
        <v>5.5555555555555554</v>
      </c>
      <c r="P48" s="219">
        <v>2.7777777777777777</v>
      </c>
      <c r="Q48" s="219">
        <v>2.7777777777777777</v>
      </c>
      <c r="R48" s="219">
        <v>2.7777777777777777</v>
      </c>
      <c r="S48" s="219">
        <v>2.7777777777777777</v>
      </c>
      <c r="T48" s="219">
        <v>5.5555555555555554</v>
      </c>
      <c r="U48" s="219">
        <v>0</v>
      </c>
      <c r="V48" s="219">
        <v>0</v>
      </c>
      <c r="W48" s="219">
        <v>2.7777777777777777</v>
      </c>
      <c r="X48" s="219">
        <v>5.5555555555555554</v>
      </c>
      <c r="Y48" s="219">
        <v>2.7777777777777777</v>
      </c>
      <c r="Z48" s="219">
        <v>2.7777777777777777</v>
      </c>
      <c r="AA48" s="220">
        <v>113.8888888888889</v>
      </c>
    </row>
    <row r="49" spans="2:27" x14ac:dyDescent="0.25">
      <c r="B49" s="216" t="str">
        <f t="shared" si="0"/>
        <v>C145Pruned</v>
      </c>
      <c r="C49" s="221" t="s">
        <v>162</v>
      </c>
      <c r="D49" s="222">
        <v>1</v>
      </c>
      <c r="E49" s="222">
        <v>45</v>
      </c>
      <c r="F49" s="221" t="s">
        <v>1</v>
      </c>
      <c r="G49" s="223">
        <v>167.52883888888888</v>
      </c>
      <c r="H49" s="223">
        <v>1.412852777777778</v>
      </c>
      <c r="I49" s="223">
        <v>2.8612013888888885</v>
      </c>
      <c r="J49" s="223">
        <v>0</v>
      </c>
      <c r="K49" s="223">
        <v>2.881009444444445</v>
      </c>
      <c r="L49" s="223">
        <v>2.8661222222222222</v>
      </c>
      <c r="M49" s="223">
        <v>1.4357027777777778</v>
      </c>
      <c r="N49" s="223">
        <v>3.2571366666666663</v>
      </c>
      <c r="O49" s="223">
        <v>0</v>
      </c>
      <c r="P49" s="223">
        <v>0</v>
      </c>
      <c r="Q49" s="223">
        <v>3.2877827777777777</v>
      </c>
      <c r="R49" s="223">
        <v>0</v>
      </c>
      <c r="S49" s="223">
        <v>1.4195383333333333</v>
      </c>
      <c r="T49" s="223">
        <v>0</v>
      </c>
      <c r="U49" s="223">
        <v>0</v>
      </c>
      <c r="V49" s="223">
        <v>1.8576050000000002</v>
      </c>
      <c r="W49" s="223">
        <v>0</v>
      </c>
      <c r="X49" s="223">
        <v>0</v>
      </c>
      <c r="Y49" s="223">
        <v>1.4641747222222223</v>
      </c>
      <c r="Z49" s="223">
        <v>0</v>
      </c>
      <c r="AA49" s="224">
        <v>1.4223505555555556</v>
      </c>
    </row>
    <row r="50" spans="2:27" x14ac:dyDescent="0.25">
      <c r="B50" s="216" t="str">
        <f t="shared" si="0"/>
        <v>C145AO</v>
      </c>
      <c r="C50" s="221" t="s">
        <v>162</v>
      </c>
      <c r="D50" s="222">
        <v>1</v>
      </c>
      <c r="E50" s="222">
        <v>45</v>
      </c>
      <c r="F50" s="221" t="s">
        <v>52</v>
      </c>
      <c r="G50" s="223">
        <v>0</v>
      </c>
      <c r="H50" s="223">
        <v>0</v>
      </c>
      <c r="I50" s="223">
        <v>0</v>
      </c>
      <c r="J50" s="223">
        <v>0</v>
      </c>
      <c r="K50" s="223">
        <v>0</v>
      </c>
      <c r="L50" s="223">
        <v>0</v>
      </c>
      <c r="M50" s="223">
        <v>0</v>
      </c>
      <c r="N50" s="223">
        <v>0</v>
      </c>
      <c r="O50" s="223">
        <v>0</v>
      </c>
      <c r="P50" s="223">
        <v>0</v>
      </c>
      <c r="Q50" s="223">
        <v>0</v>
      </c>
      <c r="R50" s="223">
        <v>0</v>
      </c>
      <c r="S50" s="223">
        <v>0</v>
      </c>
      <c r="T50" s="223">
        <v>0</v>
      </c>
      <c r="U50" s="223">
        <v>0</v>
      </c>
      <c r="V50" s="223">
        <v>0</v>
      </c>
      <c r="W50" s="223">
        <v>0</v>
      </c>
      <c r="X50" s="223">
        <v>0</v>
      </c>
      <c r="Y50" s="223">
        <v>0</v>
      </c>
      <c r="Z50" s="223">
        <v>0</v>
      </c>
      <c r="AA50" s="224">
        <v>0</v>
      </c>
    </row>
    <row r="51" spans="2:27" x14ac:dyDescent="0.25">
      <c r="B51" s="216" t="str">
        <f t="shared" si="0"/>
        <v>C145A</v>
      </c>
      <c r="C51" s="221" t="s">
        <v>162</v>
      </c>
      <c r="D51" s="222">
        <v>1</v>
      </c>
      <c r="E51" s="222">
        <v>45</v>
      </c>
      <c r="F51" s="221" t="s">
        <v>2</v>
      </c>
      <c r="G51" s="223">
        <v>115.60770805555553</v>
      </c>
      <c r="H51" s="223">
        <v>2.4265802777777776</v>
      </c>
      <c r="I51" s="223">
        <v>2.2048658333333337</v>
      </c>
      <c r="J51" s="223">
        <v>0</v>
      </c>
      <c r="K51" s="223">
        <v>1.6364477777777779</v>
      </c>
      <c r="L51" s="223">
        <v>7.1171191666666669</v>
      </c>
      <c r="M51" s="223">
        <v>1.6956875000000002</v>
      </c>
      <c r="N51" s="223">
        <v>1.1046680555555555</v>
      </c>
      <c r="O51" s="223">
        <v>3.5533930555555551</v>
      </c>
      <c r="P51" s="223">
        <v>0</v>
      </c>
      <c r="Q51" s="223">
        <v>2.0954675000000003</v>
      </c>
      <c r="R51" s="223">
        <v>2.5532858333333337</v>
      </c>
      <c r="S51" s="223">
        <v>1.0940030555555555</v>
      </c>
      <c r="T51" s="223">
        <v>0</v>
      </c>
      <c r="U51" s="223">
        <v>0</v>
      </c>
      <c r="V51" s="223">
        <v>1.6272033333333333</v>
      </c>
      <c r="W51" s="223">
        <v>0</v>
      </c>
      <c r="X51" s="223">
        <v>0</v>
      </c>
      <c r="Y51" s="223">
        <v>2.5963944444444444</v>
      </c>
      <c r="Z51" s="223">
        <v>2.0402461111111112</v>
      </c>
      <c r="AA51" s="224">
        <v>13.764666388888889</v>
      </c>
    </row>
    <row r="52" spans="2:27" x14ac:dyDescent="0.25">
      <c r="B52" s="216" t="str">
        <f t="shared" si="0"/>
        <v>C145K</v>
      </c>
      <c r="C52" s="221" t="s">
        <v>162</v>
      </c>
      <c r="D52" s="222">
        <v>1</v>
      </c>
      <c r="E52" s="222">
        <v>45</v>
      </c>
      <c r="F52" s="221" t="s">
        <v>3</v>
      </c>
      <c r="G52" s="223">
        <v>41.860361944444456</v>
      </c>
      <c r="H52" s="223">
        <v>2.9407077777777779</v>
      </c>
      <c r="I52" s="223">
        <v>1.6982608333333336</v>
      </c>
      <c r="J52" s="223">
        <v>0</v>
      </c>
      <c r="K52" s="223">
        <v>1.3324975000000001</v>
      </c>
      <c r="L52" s="223">
        <v>4.1770500000000004</v>
      </c>
      <c r="M52" s="223">
        <v>1.3822433333333333</v>
      </c>
      <c r="N52" s="223">
        <v>0.53515166666666669</v>
      </c>
      <c r="O52" s="223">
        <v>3.7940572222222224</v>
      </c>
      <c r="P52" s="223">
        <v>0</v>
      </c>
      <c r="Q52" s="223">
        <v>2.6367602777777779</v>
      </c>
      <c r="R52" s="223">
        <v>0.85779749999999999</v>
      </c>
      <c r="S52" s="223">
        <v>1.4724147222222221</v>
      </c>
      <c r="T52" s="223">
        <v>0</v>
      </c>
      <c r="U52" s="223">
        <v>0</v>
      </c>
      <c r="V52" s="223">
        <v>1.6457300000000001</v>
      </c>
      <c r="W52" s="223">
        <v>0</v>
      </c>
      <c r="X52" s="223">
        <v>0</v>
      </c>
      <c r="Y52" s="223">
        <v>0</v>
      </c>
      <c r="Z52" s="223">
        <v>0</v>
      </c>
      <c r="AA52" s="224">
        <v>22.617715833333335</v>
      </c>
    </row>
    <row r="53" spans="2:27" x14ac:dyDescent="0.25">
      <c r="B53" s="216" t="str">
        <f t="shared" si="0"/>
        <v>C145KI</v>
      </c>
      <c r="C53" s="221" t="s">
        <v>162</v>
      </c>
      <c r="D53" s="222">
        <v>1</v>
      </c>
      <c r="E53" s="222">
        <v>45</v>
      </c>
      <c r="F53" s="221" t="s">
        <v>4</v>
      </c>
      <c r="G53" s="223">
        <v>128.10610916666664</v>
      </c>
      <c r="H53" s="223">
        <v>1.1416541666666666</v>
      </c>
      <c r="I53" s="223">
        <v>1.64897</v>
      </c>
      <c r="J53" s="223">
        <v>0</v>
      </c>
      <c r="K53" s="223">
        <v>1.5574683333333332</v>
      </c>
      <c r="L53" s="223">
        <v>2.0748591666666667</v>
      </c>
      <c r="M53" s="223">
        <v>0</v>
      </c>
      <c r="N53" s="223">
        <v>2.9994197222222225</v>
      </c>
      <c r="O53" s="223">
        <v>3.2508999999999997</v>
      </c>
      <c r="P53" s="223">
        <v>0</v>
      </c>
      <c r="Q53" s="223">
        <v>1.9606691666666667</v>
      </c>
      <c r="R53" s="223">
        <v>5.4281036111111112</v>
      </c>
      <c r="S53" s="223">
        <v>0</v>
      </c>
      <c r="T53" s="223">
        <v>0</v>
      </c>
      <c r="U53" s="223">
        <v>0</v>
      </c>
      <c r="V53" s="223">
        <v>0</v>
      </c>
      <c r="W53" s="223">
        <v>0</v>
      </c>
      <c r="X53" s="223">
        <v>0</v>
      </c>
      <c r="Y53" s="223">
        <v>4.096126388888889</v>
      </c>
      <c r="Z53" s="223">
        <v>2.7420399999999998</v>
      </c>
      <c r="AA53" s="224">
        <v>14.850048055555558</v>
      </c>
    </row>
    <row r="54" spans="2:27" x14ac:dyDescent="0.25">
      <c r="B54" s="216" t="str">
        <f t="shared" si="0"/>
        <v>C145KIS</v>
      </c>
      <c r="C54" s="221" t="s">
        <v>162</v>
      </c>
      <c r="D54" s="222">
        <v>1</v>
      </c>
      <c r="E54" s="222">
        <v>45</v>
      </c>
      <c r="F54" s="221" t="s">
        <v>5</v>
      </c>
      <c r="G54" s="223">
        <v>23.28571052777778</v>
      </c>
      <c r="H54" s="223">
        <v>0</v>
      </c>
      <c r="I54" s="223">
        <v>0</v>
      </c>
      <c r="J54" s="223">
        <v>0</v>
      </c>
      <c r="K54" s="223">
        <v>0</v>
      </c>
      <c r="L54" s="223">
        <v>2.4603059166666665</v>
      </c>
      <c r="M54" s="223">
        <v>1.22122025</v>
      </c>
      <c r="N54" s="223">
        <v>0.33799972222222224</v>
      </c>
      <c r="O54" s="223">
        <v>1.438274777777778</v>
      </c>
      <c r="P54" s="223">
        <v>0</v>
      </c>
      <c r="Q54" s="223">
        <v>0</v>
      </c>
      <c r="R54" s="223">
        <v>1.6051145000000002</v>
      </c>
      <c r="S54" s="223">
        <v>0</v>
      </c>
      <c r="T54" s="223">
        <v>0</v>
      </c>
      <c r="U54" s="223">
        <v>0</v>
      </c>
      <c r="V54" s="223">
        <v>0.59345277777777783</v>
      </c>
      <c r="W54" s="223">
        <v>0</v>
      </c>
      <c r="X54" s="223">
        <v>0</v>
      </c>
      <c r="Y54" s="223">
        <v>0.48117638888888892</v>
      </c>
      <c r="Z54" s="223">
        <v>0</v>
      </c>
      <c r="AA54" s="224">
        <v>5.5617032222222216</v>
      </c>
    </row>
    <row r="55" spans="2:27" x14ac:dyDescent="0.25">
      <c r="B55" s="216" t="str">
        <f t="shared" si="0"/>
        <v>C145Pulp</v>
      </c>
      <c r="C55" s="221" t="s">
        <v>162</v>
      </c>
      <c r="D55" s="222">
        <v>1</v>
      </c>
      <c r="E55" s="222">
        <v>45</v>
      </c>
      <c r="F55" s="221" t="s">
        <v>51</v>
      </c>
      <c r="G55" s="223">
        <v>9.2664910000000003</v>
      </c>
      <c r="H55" s="223">
        <v>0</v>
      </c>
      <c r="I55" s="223">
        <v>0.36815694444444447</v>
      </c>
      <c r="J55" s="223">
        <v>0</v>
      </c>
      <c r="K55" s="223">
        <v>1.02424</v>
      </c>
      <c r="L55" s="223">
        <v>0.59168236111111105</v>
      </c>
      <c r="M55" s="223">
        <v>1.0691680277777778</v>
      </c>
      <c r="N55" s="223">
        <v>0</v>
      </c>
      <c r="O55" s="223">
        <v>0.12436969444444446</v>
      </c>
      <c r="P55" s="223">
        <v>0</v>
      </c>
      <c r="Q55" s="223">
        <v>0</v>
      </c>
      <c r="R55" s="223">
        <v>0.26894311111111113</v>
      </c>
      <c r="S55" s="223">
        <v>0</v>
      </c>
      <c r="T55" s="223">
        <v>0</v>
      </c>
      <c r="U55" s="223">
        <v>0</v>
      </c>
      <c r="V55" s="223">
        <v>0</v>
      </c>
      <c r="W55" s="223">
        <v>0</v>
      </c>
      <c r="X55" s="223">
        <v>0</v>
      </c>
      <c r="Y55" s="223">
        <v>0.70894611111111117</v>
      </c>
      <c r="Z55" s="223">
        <v>0</v>
      </c>
      <c r="AA55" s="224">
        <v>2.5858745555555558</v>
      </c>
    </row>
    <row r="56" spans="2:27" x14ac:dyDescent="0.25">
      <c r="B56" s="216" t="str">
        <f t="shared" si="0"/>
        <v>C145TRV</v>
      </c>
      <c r="C56" s="221" t="s">
        <v>162</v>
      </c>
      <c r="D56" s="222">
        <v>1</v>
      </c>
      <c r="E56" s="222">
        <v>45</v>
      </c>
      <c r="F56" s="221" t="s">
        <v>74</v>
      </c>
      <c r="G56" s="223">
        <v>485.65521958333323</v>
      </c>
      <c r="H56" s="223">
        <v>7.9217950000000013</v>
      </c>
      <c r="I56" s="223">
        <v>8.7814549999999993</v>
      </c>
      <c r="J56" s="223">
        <v>0</v>
      </c>
      <c r="K56" s="223">
        <v>8.4316630555555552</v>
      </c>
      <c r="L56" s="223">
        <v>19.287138833333334</v>
      </c>
      <c r="M56" s="223">
        <v>6.8040218888888893</v>
      </c>
      <c r="N56" s="223">
        <v>8.2343758333333348</v>
      </c>
      <c r="O56" s="223">
        <v>12.16099475</v>
      </c>
      <c r="P56" s="223">
        <v>0</v>
      </c>
      <c r="Q56" s="223">
        <v>9.9806797222222237</v>
      </c>
      <c r="R56" s="223">
        <v>10.713244555555555</v>
      </c>
      <c r="S56" s="223">
        <v>3.9859561111111108</v>
      </c>
      <c r="T56" s="223">
        <v>0</v>
      </c>
      <c r="U56" s="223">
        <v>0</v>
      </c>
      <c r="V56" s="223">
        <v>5.7239911111111121</v>
      </c>
      <c r="W56" s="223">
        <v>0</v>
      </c>
      <c r="X56" s="223">
        <v>0</v>
      </c>
      <c r="Y56" s="223">
        <v>9.3468180555555556</v>
      </c>
      <c r="Z56" s="223">
        <v>4.7822861111111115</v>
      </c>
      <c r="AA56" s="224">
        <v>60.802358611111117</v>
      </c>
    </row>
    <row r="57" spans="2:27" x14ac:dyDescent="0.25">
      <c r="B57" s="216" t="str">
        <f t="shared" si="0"/>
        <v>C145Stem/ha</v>
      </c>
      <c r="C57" s="221" t="s">
        <v>162</v>
      </c>
      <c r="D57" s="222">
        <v>1</v>
      </c>
      <c r="E57" s="222">
        <v>45</v>
      </c>
      <c r="F57" s="221" t="s">
        <v>85</v>
      </c>
      <c r="G57" s="223">
        <v>252.7777777777778</v>
      </c>
      <c r="H57" s="223">
        <v>5.5555555555555554</v>
      </c>
      <c r="I57" s="223">
        <v>5.5555555555555554</v>
      </c>
      <c r="J57" s="223">
        <v>0</v>
      </c>
      <c r="K57" s="223">
        <v>5.5555555555555554</v>
      </c>
      <c r="L57" s="223">
        <v>11.111111111111111</v>
      </c>
      <c r="M57" s="223">
        <v>5.5555555555555554</v>
      </c>
      <c r="N57" s="223">
        <v>5.5555555555555554</v>
      </c>
      <c r="O57" s="223">
        <v>8.3333333333333339</v>
      </c>
      <c r="P57" s="223">
        <v>0</v>
      </c>
      <c r="Q57" s="223">
        <v>5.5555555555555554</v>
      </c>
      <c r="R57" s="223">
        <v>5.5555555555555554</v>
      </c>
      <c r="S57" s="223">
        <v>2.7777777777777777</v>
      </c>
      <c r="T57" s="223">
        <v>0</v>
      </c>
      <c r="U57" s="223">
        <v>0</v>
      </c>
      <c r="V57" s="223">
        <v>2.7777777777777777</v>
      </c>
      <c r="W57" s="223">
        <v>0</v>
      </c>
      <c r="X57" s="223">
        <v>0</v>
      </c>
      <c r="Y57" s="223">
        <v>5.5555555555555554</v>
      </c>
      <c r="Z57" s="223">
        <v>2.7777777777777777</v>
      </c>
      <c r="AA57" s="224">
        <v>58.333333333333336</v>
      </c>
    </row>
    <row r="58" spans="2:27" x14ac:dyDescent="0.25">
      <c r="B58" s="216" t="str">
        <f t="shared" si="0"/>
        <v>C360Pruned</v>
      </c>
      <c r="C58" s="217" t="s">
        <v>162</v>
      </c>
      <c r="D58" s="218">
        <v>3</v>
      </c>
      <c r="E58" s="218">
        <v>60</v>
      </c>
      <c r="F58" s="217" t="s">
        <v>1</v>
      </c>
      <c r="G58" s="219">
        <v>18.595541666666669</v>
      </c>
      <c r="H58" s="219">
        <v>0</v>
      </c>
      <c r="I58" s="219">
        <v>0</v>
      </c>
      <c r="J58" s="219">
        <v>15.310689722222222</v>
      </c>
      <c r="K58" s="219">
        <v>0</v>
      </c>
      <c r="L58" s="219">
        <v>0</v>
      </c>
      <c r="M58" s="219">
        <v>10.272663888888891</v>
      </c>
      <c r="N58" s="219">
        <v>0</v>
      </c>
      <c r="O58" s="219">
        <v>0</v>
      </c>
      <c r="P58" s="219">
        <v>3.5958194444444445</v>
      </c>
      <c r="Q58" s="219">
        <v>0</v>
      </c>
      <c r="R58" s="219">
        <v>0</v>
      </c>
      <c r="S58" s="219">
        <v>18.181718333333333</v>
      </c>
      <c r="T58" s="219">
        <v>0</v>
      </c>
      <c r="U58" s="219">
        <v>0</v>
      </c>
      <c r="V58" s="219">
        <v>27.417477777777776</v>
      </c>
      <c r="W58" s="219">
        <v>0</v>
      </c>
      <c r="X58" s="219">
        <v>0</v>
      </c>
      <c r="Y58" s="219">
        <v>10.270275</v>
      </c>
      <c r="Z58" s="219">
        <v>0</v>
      </c>
      <c r="AA58" s="220">
        <v>166.83736416666665</v>
      </c>
    </row>
    <row r="59" spans="2:27" x14ac:dyDescent="0.25">
      <c r="B59" s="216" t="str">
        <f t="shared" si="0"/>
        <v>C360AO</v>
      </c>
      <c r="C59" s="217" t="s">
        <v>162</v>
      </c>
      <c r="D59" s="218">
        <v>3</v>
      </c>
      <c r="E59" s="218">
        <v>60</v>
      </c>
      <c r="F59" s="217" t="s">
        <v>52</v>
      </c>
      <c r="G59" s="219">
        <v>0</v>
      </c>
      <c r="H59" s="219">
        <v>0</v>
      </c>
      <c r="I59" s="219">
        <v>0</v>
      </c>
      <c r="J59" s="219">
        <v>0</v>
      </c>
      <c r="K59" s="219">
        <v>0</v>
      </c>
      <c r="L59" s="219">
        <v>0</v>
      </c>
      <c r="M59" s="219">
        <v>0</v>
      </c>
      <c r="N59" s="219">
        <v>0</v>
      </c>
      <c r="O59" s="219">
        <v>0</v>
      </c>
      <c r="P59" s="219">
        <v>2.7409683333333335</v>
      </c>
      <c r="Q59" s="219">
        <v>0</v>
      </c>
      <c r="R59" s="219">
        <v>0</v>
      </c>
      <c r="S59" s="219">
        <v>5.9837830555555556</v>
      </c>
      <c r="T59" s="219">
        <v>0</v>
      </c>
      <c r="U59" s="219">
        <v>0</v>
      </c>
      <c r="V59" s="219">
        <v>2.797627777777778</v>
      </c>
      <c r="W59" s="219">
        <v>0</v>
      </c>
      <c r="X59" s="219">
        <v>0</v>
      </c>
      <c r="Y59" s="219">
        <v>2.8006055555555558</v>
      </c>
      <c r="Z59" s="219">
        <v>0</v>
      </c>
      <c r="AA59" s="220">
        <v>11.130199791666669</v>
      </c>
    </row>
    <row r="60" spans="2:27" x14ac:dyDescent="0.25">
      <c r="B60" s="216" t="str">
        <f t="shared" si="0"/>
        <v>C360A</v>
      </c>
      <c r="C60" s="217" t="s">
        <v>162</v>
      </c>
      <c r="D60" s="218">
        <v>3</v>
      </c>
      <c r="E60" s="218">
        <v>60</v>
      </c>
      <c r="F60" s="217" t="s">
        <v>2</v>
      </c>
      <c r="G60" s="219">
        <v>16.082934444444444</v>
      </c>
      <c r="H60" s="219">
        <v>0</v>
      </c>
      <c r="I60" s="219">
        <v>0</v>
      </c>
      <c r="J60" s="219">
        <v>10.456798055555556</v>
      </c>
      <c r="K60" s="219">
        <v>0</v>
      </c>
      <c r="L60" s="219">
        <v>0</v>
      </c>
      <c r="M60" s="219">
        <v>8.6487211111111115</v>
      </c>
      <c r="N60" s="219">
        <v>0</v>
      </c>
      <c r="O60" s="219">
        <v>0</v>
      </c>
      <c r="P60" s="219">
        <v>9.9412305555555562</v>
      </c>
      <c r="Q60" s="219">
        <v>0</v>
      </c>
      <c r="R60" s="219">
        <v>0</v>
      </c>
      <c r="S60" s="219">
        <v>14.743933611111112</v>
      </c>
      <c r="T60" s="219">
        <v>0</v>
      </c>
      <c r="U60" s="219">
        <v>0</v>
      </c>
      <c r="V60" s="219">
        <v>29.93832861111111</v>
      </c>
      <c r="W60" s="219">
        <v>0</v>
      </c>
      <c r="X60" s="219">
        <v>0</v>
      </c>
      <c r="Y60" s="219">
        <v>13.395503333333336</v>
      </c>
      <c r="Z60" s="219">
        <v>0</v>
      </c>
      <c r="AA60" s="220">
        <v>205.10348745833338</v>
      </c>
    </row>
    <row r="61" spans="2:27" x14ac:dyDescent="0.25">
      <c r="B61" s="216" t="str">
        <f t="shared" si="0"/>
        <v>C360K</v>
      </c>
      <c r="C61" s="217" t="s">
        <v>162</v>
      </c>
      <c r="D61" s="218">
        <v>3</v>
      </c>
      <c r="E61" s="218">
        <v>60</v>
      </c>
      <c r="F61" s="217" t="s">
        <v>3</v>
      </c>
      <c r="G61" s="219">
        <v>1.9767286111111111</v>
      </c>
      <c r="H61" s="219">
        <v>0</v>
      </c>
      <c r="I61" s="219">
        <v>0</v>
      </c>
      <c r="J61" s="219">
        <v>0</v>
      </c>
      <c r="K61" s="219">
        <v>0</v>
      </c>
      <c r="L61" s="219">
        <v>0</v>
      </c>
      <c r="M61" s="219">
        <v>0</v>
      </c>
      <c r="N61" s="219">
        <v>0</v>
      </c>
      <c r="O61" s="219">
        <v>0</v>
      </c>
      <c r="P61" s="219">
        <v>0.54137055555555558</v>
      </c>
      <c r="Q61" s="219">
        <v>0</v>
      </c>
      <c r="R61" s="219">
        <v>0</v>
      </c>
      <c r="S61" s="219">
        <v>0.74857527777777777</v>
      </c>
      <c r="T61" s="219">
        <v>0</v>
      </c>
      <c r="U61" s="219">
        <v>0</v>
      </c>
      <c r="V61" s="219">
        <v>4.5988949999999997</v>
      </c>
      <c r="W61" s="219">
        <v>0</v>
      </c>
      <c r="X61" s="219">
        <v>0</v>
      </c>
      <c r="Y61" s="219">
        <v>2.2293400000000001</v>
      </c>
      <c r="Z61" s="219">
        <v>0</v>
      </c>
      <c r="AA61" s="220">
        <v>82.688281083333337</v>
      </c>
    </row>
    <row r="62" spans="2:27" x14ac:dyDescent="0.25">
      <c r="B62" s="216" t="str">
        <f t="shared" si="0"/>
        <v>C360KI</v>
      </c>
      <c r="C62" s="217" t="s">
        <v>162</v>
      </c>
      <c r="D62" s="218">
        <v>3</v>
      </c>
      <c r="E62" s="218">
        <v>60</v>
      </c>
      <c r="F62" s="217" t="s">
        <v>4</v>
      </c>
      <c r="G62" s="219">
        <v>16.278749444444443</v>
      </c>
      <c r="H62" s="219">
        <v>0</v>
      </c>
      <c r="I62" s="219">
        <v>0</v>
      </c>
      <c r="J62" s="219">
        <v>16.148644166666667</v>
      </c>
      <c r="K62" s="219">
        <v>0</v>
      </c>
      <c r="L62" s="219">
        <v>0</v>
      </c>
      <c r="M62" s="219">
        <v>6.2174836111111116</v>
      </c>
      <c r="N62" s="219">
        <v>0</v>
      </c>
      <c r="O62" s="219">
        <v>0</v>
      </c>
      <c r="P62" s="219">
        <v>9.8697172222222225</v>
      </c>
      <c r="Q62" s="219">
        <v>0</v>
      </c>
      <c r="R62" s="219">
        <v>0</v>
      </c>
      <c r="S62" s="219">
        <v>18.763751111111112</v>
      </c>
      <c r="T62" s="219">
        <v>0</v>
      </c>
      <c r="U62" s="219">
        <v>0</v>
      </c>
      <c r="V62" s="219">
        <v>19.192873055555559</v>
      </c>
      <c r="W62" s="219">
        <v>0</v>
      </c>
      <c r="X62" s="219">
        <v>0</v>
      </c>
      <c r="Y62" s="219">
        <v>9.397355833333334</v>
      </c>
      <c r="Z62" s="219">
        <v>0</v>
      </c>
      <c r="AA62" s="220">
        <v>174.40686987500001</v>
      </c>
    </row>
    <row r="63" spans="2:27" x14ac:dyDescent="0.25">
      <c r="B63" s="216" t="str">
        <f t="shared" si="0"/>
        <v>C360KIS</v>
      </c>
      <c r="C63" s="217" t="s">
        <v>162</v>
      </c>
      <c r="D63" s="218">
        <v>3</v>
      </c>
      <c r="E63" s="218">
        <v>60</v>
      </c>
      <c r="F63" s="217" t="s">
        <v>5</v>
      </c>
      <c r="G63" s="219">
        <v>0.39298972222222223</v>
      </c>
      <c r="H63" s="219">
        <v>0</v>
      </c>
      <c r="I63" s="219">
        <v>0</v>
      </c>
      <c r="J63" s="219">
        <v>3.0027146666666664</v>
      </c>
      <c r="K63" s="219">
        <v>0</v>
      </c>
      <c r="L63" s="219">
        <v>0</v>
      </c>
      <c r="M63" s="219">
        <v>0.48316833333333337</v>
      </c>
      <c r="N63" s="219">
        <v>0</v>
      </c>
      <c r="O63" s="219">
        <v>0</v>
      </c>
      <c r="P63" s="219">
        <v>0</v>
      </c>
      <c r="Q63" s="219">
        <v>0</v>
      </c>
      <c r="R63" s="219">
        <v>0</v>
      </c>
      <c r="S63" s="219">
        <v>1.1608547222222223</v>
      </c>
      <c r="T63" s="219">
        <v>0</v>
      </c>
      <c r="U63" s="219">
        <v>0</v>
      </c>
      <c r="V63" s="219">
        <v>0.58802861111111115</v>
      </c>
      <c r="W63" s="219">
        <v>0</v>
      </c>
      <c r="X63" s="219">
        <v>0</v>
      </c>
      <c r="Y63" s="219">
        <v>0</v>
      </c>
      <c r="Z63" s="219">
        <v>0</v>
      </c>
      <c r="AA63" s="220">
        <v>21.350185704166666</v>
      </c>
    </row>
    <row r="64" spans="2:27" x14ac:dyDescent="0.25">
      <c r="B64" s="216" t="str">
        <f t="shared" si="0"/>
        <v>C360Pulp</v>
      </c>
      <c r="C64" s="217" t="s">
        <v>162</v>
      </c>
      <c r="D64" s="218">
        <v>3</v>
      </c>
      <c r="E64" s="218">
        <v>60</v>
      </c>
      <c r="F64" s="217" t="s">
        <v>51</v>
      </c>
      <c r="G64" s="219">
        <v>0</v>
      </c>
      <c r="H64" s="219">
        <v>0</v>
      </c>
      <c r="I64" s="219">
        <v>0</v>
      </c>
      <c r="J64" s="219">
        <v>0.28047513888888892</v>
      </c>
      <c r="K64" s="219">
        <v>0</v>
      </c>
      <c r="L64" s="219">
        <v>0</v>
      </c>
      <c r="M64" s="219">
        <v>0</v>
      </c>
      <c r="N64" s="219">
        <v>0</v>
      </c>
      <c r="O64" s="219">
        <v>0</v>
      </c>
      <c r="P64" s="219">
        <v>0</v>
      </c>
      <c r="Q64" s="219">
        <v>0</v>
      </c>
      <c r="R64" s="219">
        <v>0</v>
      </c>
      <c r="S64" s="219">
        <v>0</v>
      </c>
      <c r="T64" s="219">
        <v>0</v>
      </c>
      <c r="U64" s="219">
        <v>0</v>
      </c>
      <c r="V64" s="219">
        <v>0.3888180555555556</v>
      </c>
      <c r="W64" s="219">
        <v>0</v>
      </c>
      <c r="X64" s="219">
        <v>0</v>
      </c>
      <c r="Y64" s="219">
        <v>0</v>
      </c>
      <c r="Z64" s="219">
        <v>0</v>
      </c>
      <c r="AA64" s="220">
        <v>16.034026516666668</v>
      </c>
    </row>
    <row r="65" spans="2:27" x14ac:dyDescent="0.25">
      <c r="B65" s="216" t="str">
        <f t="shared" si="0"/>
        <v>C360TRV</v>
      </c>
      <c r="C65" s="217" t="s">
        <v>162</v>
      </c>
      <c r="D65" s="218">
        <v>3</v>
      </c>
      <c r="E65" s="218">
        <v>60</v>
      </c>
      <c r="F65" s="217" t="s">
        <v>74</v>
      </c>
      <c r="G65" s="219">
        <v>53.326943888888898</v>
      </c>
      <c r="H65" s="219">
        <v>0</v>
      </c>
      <c r="I65" s="219">
        <v>0</v>
      </c>
      <c r="J65" s="219">
        <v>45.199321750000003</v>
      </c>
      <c r="K65" s="219">
        <v>0</v>
      </c>
      <c r="L65" s="219">
        <v>0</v>
      </c>
      <c r="M65" s="219">
        <v>25.622036944444446</v>
      </c>
      <c r="N65" s="219">
        <v>0</v>
      </c>
      <c r="O65" s="219">
        <v>0</v>
      </c>
      <c r="P65" s="219">
        <v>26.689106111111112</v>
      </c>
      <c r="Q65" s="219">
        <v>0</v>
      </c>
      <c r="R65" s="219">
        <v>0</v>
      </c>
      <c r="S65" s="219">
        <v>59.582616111111115</v>
      </c>
      <c r="T65" s="219">
        <v>0</v>
      </c>
      <c r="U65" s="219">
        <v>0</v>
      </c>
      <c r="V65" s="219">
        <v>84.922048888888895</v>
      </c>
      <c r="W65" s="219">
        <v>0</v>
      </c>
      <c r="X65" s="219">
        <v>0</v>
      </c>
      <c r="Y65" s="219">
        <v>38.093079722222221</v>
      </c>
      <c r="Z65" s="219">
        <v>0</v>
      </c>
      <c r="AA65" s="220">
        <v>677.55041459583344</v>
      </c>
    </row>
    <row r="66" spans="2:27" x14ac:dyDescent="0.25">
      <c r="B66" s="216" t="str">
        <f t="shared" si="0"/>
        <v>C360Stem/ha</v>
      </c>
      <c r="C66" s="217" t="s">
        <v>162</v>
      </c>
      <c r="D66" s="218">
        <v>3</v>
      </c>
      <c r="E66" s="218">
        <v>60</v>
      </c>
      <c r="F66" s="217" t="s">
        <v>85</v>
      </c>
      <c r="G66" s="219">
        <v>16.666666666666668</v>
      </c>
      <c r="H66" s="219">
        <v>0</v>
      </c>
      <c r="I66" s="219">
        <v>0</v>
      </c>
      <c r="J66" s="219">
        <v>16.666666666666668</v>
      </c>
      <c r="K66" s="219">
        <v>0</v>
      </c>
      <c r="L66" s="219">
        <v>0</v>
      </c>
      <c r="M66" s="219">
        <v>8.3333333333333339</v>
      </c>
      <c r="N66" s="219">
        <v>0</v>
      </c>
      <c r="O66" s="219">
        <v>0</v>
      </c>
      <c r="P66" s="219">
        <v>8.3333333333333339</v>
      </c>
      <c r="Q66" s="219">
        <v>0</v>
      </c>
      <c r="R66" s="219">
        <v>0</v>
      </c>
      <c r="S66" s="219">
        <v>19.444444444444446</v>
      </c>
      <c r="T66" s="219">
        <v>0</v>
      </c>
      <c r="U66" s="219">
        <v>0</v>
      </c>
      <c r="V66" s="219">
        <v>25</v>
      </c>
      <c r="W66" s="219">
        <v>0</v>
      </c>
      <c r="X66" s="219">
        <v>0</v>
      </c>
      <c r="Y66" s="219">
        <v>11.111111111111111</v>
      </c>
      <c r="Z66" s="219">
        <v>0</v>
      </c>
      <c r="AA66" s="220">
        <v>291.66666666666669</v>
      </c>
    </row>
    <row r="67" spans="2:27" x14ac:dyDescent="0.25">
      <c r="B67" s="216" t="str">
        <f t="shared" si="0"/>
        <v>C355Pruned</v>
      </c>
      <c r="C67" s="221" t="s">
        <v>162</v>
      </c>
      <c r="D67" s="222">
        <v>3</v>
      </c>
      <c r="E67" s="222">
        <v>55</v>
      </c>
      <c r="F67" s="221" t="s">
        <v>1</v>
      </c>
      <c r="G67" s="223">
        <v>49.091145833333336</v>
      </c>
      <c r="H67" s="223">
        <v>0</v>
      </c>
      <c r="I67" s="223">
        <v>0</v>
      </c>
      <c r="J67" s="223">
        <v>26.590335000000003</v>
      </c>
      <c r="K67" s="223">
        <v>0</v>
      </c>
      <c r="L67" s="223">
        <v>0</v>
      </c>
      <c r="M67" s="223">
        <v>32.137887499999991</v>
      </c>
      <c r="N67" s="223">
        <v>0</v>
      </c>
      <c r="O67" s="223">
        <v>0</v>
      </c>
      <c r="P67" s="223">
        <v>28.005298611111112</v>
      </c>
      <c r="Q67" s="223">
        <v>0</v>
      </c>
      <c r="R67" s="223">
        <v>0</v>
      </c>
      <c r="S67" s="223">
        <v>10.952491666666669</v>
      </c>
      <c r="T67" s="223">
        <v>0</v>
      </c>
      <c r="U67" s="223">
        <v>0</v>
      </c>
      <c r="V67" s="223">
        <v>9.0670138888888889</v>
      </c>
      <c r="W67" s="223">
        <v>0</v>
      </c>
      <c r="X67" s="223">
        <v>0</v>
      </c>
      <c r="Y67" s="223">
        <v>13.31005388888889</v>
      </c>
      <c r="Z67" s="223">
        <v>0</v>
      </c>
      <c r="AA67" s="224">
        <v>76.555683458333348</v>
      </c>
    </row>
    <row r="68" spans="2:27" x14ac:dyDescent="0.25">
      <c r="B68" s="216" t="str">
        <f t="shared" si="0"/>
        <v>C355AO</v>
      </c>
      <c r="C68" s="221" t="s">
        <v>162</v>
      </c>
      <c r="D68" s="222">
        <v>3</v>
      </c>
      <c r="E68" s="222">
        <v>55</v>
      </c>
      <c r="F68" s="221" t="s">
        <v>52</v>
      </c>
      <c r="G68" s="223">
        <v>0</v>
      </c>
      <c r="H68" s="223">
        <v>0</v>
      </c>
      <c r="I68" s="223">
        <v>0</v>
      </c>
      <c r="J68" s="223">
        <v>0</v>
      </c>
      <c r="K68" s="223">
        <v>0</v>
      </c>
      <c r="L68" s="223">
        <v>0</v>
      </c>
      <c r="M68" s="223">
        <v>0</v>
      </c>
      <c r="N68" s="223">
        <v>0</v>
      </c>
      <c r="O68" s="223">
        <v>0</v>
      </c>
      <c r="P68" s="223">
        <v>0</v>
      </c>
      <c r="Q68" s="223">
        <v>0</v>
      </c>
      <c r="R68" s="223">
        <v>0</v>
      </c>
      <c r="S68" s="223">
        <v>0</v>
      </c>
      <c r="T68" s="223">
        <v>0</v>
      </c>
      <c r="U68" s="223">
        <v>0</v>
      </c>
      <c r="V68" s="223">
        <v>0</v>
      </c>
      <c r="W68" s="223">
        <v>0</v>
      </c>
      <c r="X68" s="223">
        <v>0</v>
      </c>
      <c r="Y68" s="223">
        <v>0</v>
      </c>
      <c r="Z68" s="223">
        <v>0</v>
      </c>
      <c r="AA68" s="224">
        <v>0</v>
      </c>
    </row>
    <row r="69" spans="2:27" x14ac:dyDescent="0.25">
      <c r="B69" s="216" t="str">
        <f t="shared" si="0"/>
        <v>C355A</v>
      </c>
      <c r="C69" s="221" t="s">
        <v>162</v>
      </c>
      <c r="D69" s="222">
        <v>3</v>
      </c>
      <c r="E69" s="222">
        <v>55</v>
      </c>
      <c r="F69" s="221" t="s">
        <v>2</v>
      </c>
      <c r="G69" s="223">
        <v>42.670590833333335</v>
      </c>
      <c r="H69" s="223">
        <v>0</v>
      </c>
      <c r="I69" s="223">
        <v>0</v>
      </c>
      <c r="J69" s="223">
        <v>30.763100555555553</v>
      </c>
      <c r="K69" s="223">
        <v>0</v>
      </c>
      <c r="L69" s="223">
        <v>0</v>
      </c>
      <c r="M69" s="223">
        <v>25.080454722222225</v>
      </c>
      <c r="N69" s="223">
        <v>0</v>
      </c>
      <c r="O69" s="223">
        <v>0</v>
      </c>
      <c r="P69" s="223">
        <v>28.511386388888887</v>
      </c>
      <c r="Q69" s="223">
        <v>0</v>
      </c>
      <c r="R69" s="223">
        <v>0</v>
      </c>
      <c r="S69" s="223">
        <v>8.2505005555555559</v>
      </c>
      <c r="T69" s="223">
        <v>0</v>
      </c>
      <c r="U69" s="223">
        <v>0</v>
      </c>
      <c r="V69" s="223">
        <v>14.139822222222225</v>
      </c>
      <c r="W69" s="223">
        <v>0</v>
      </c>
      <c r="X69" s="223">
        <v>0</v>
      </c>
      <c r="Y69" s="223">
        <v>14.62140611111111</v>
      </c>
      <c r="Z69" s="223">
        <v>0</v>
      </c>
      <c r="AA69" s="224">
        <v>109.47063808333334</v>
      </c>
    </row>
    <row r="70" spans="2:27" x14ac:dyDescent="0.25">
      <c r="B70" s="216" t="str">
        <f t="shared" si="0"/>
        <v>C355K</v>
      </c>
      <c r="C70" s="221" t="s">
        <v>162</v>
      </c>
      <c r="D70" s="222">
        <v>3</v>
      </c>
      <c r="E70" s="222">
        <v>55</v>
      </c>
      <c r="F70" s="221" t="s">
        <v>3</v>
      </c>
      <c r="G70" s="223">
        <v>3.5507919444444438</v>
      </c>
      <c r="H70" s="223">
        <v>0</v>
      </c>
      <c r="I70" s="223">
        <v>0</v>
      </c>
      <c r="J70" s="223">
        <v>4.7941705555555565</v>
      </c>
      <c r="K70" s="223">
        <v>0</v>
      </c>
      <c r="L70" s="223">
        <v>0</v>
      </c>
      <c r="M70" s="223">
        <v>2.4808447222222223</v>
      </c>
      <c r="N70" s="223">
        <v>0</v>
      </c>
      <c r="O70" s="223">
        <v>0</v>
      </c>
      <c r="P70" s="223">
        <v>4.083473333333334</v>
      </c>
      <c r="Q70" s="223">
        <v>0</v>
      </c>
      <c r="R70" s="223">
        <v>0</v>
      </c>
      <c r="S70" s="223">
        <v>0.59547444444444442</v>
      </c>
      <c r="T70" s="223">
        <v>0</v>
      </c>
      <c r="U70" s="223">
        <v>0</v>
      </c>
      <c r="V70" s="223">
        <v>7.5662716666666663</v>
      </c>
      <c r="W70" s="223">
        <v>0</v>
      </c>
      <c r="X70" s="223">
        <v>0</v>
      </c>
      <c r="Y70" s="223">
        <v>2.0240347222222224</v>
      </c>
      <c r="Z70" s="223">
        <v>0</v>
      </c>
      <c r="AA70" s="224">
        <v>59.116103083333321</v>
      </c>
    </row>
    <row r="71" spans="2:27" x14ac:dyDescent="0.25">
      <c r="B71" s="216" t="str">
        <f t="shared" si="0"/>
        <v>C355KI</v>
      </c>
      <c r="C71" s="221" t="s">
        <v>162</v>
      </c>
      <c r="D71" s="222">
        <v>3</v>
      </c>
      <c r="E71" s="222">
        <v>55</v>
      </c>
      <c r="F71" s="221" t="s">
        <v>4</v>
      </c>
      <c r="G71" s="223">
        <v>43.188222777777781</v>
      </c>
      <c r="H71" s="223">
        <v>0</v>
      </c>
      <c r="I71" s="223">
        <v>0</v>
      </c>
      <c r="J71" s="223">
        <v>26.421186111111108</v>
      </c>
      <c r="K71" s="223">
        <v>0</v>
      </c>
      <c r="L71" s="223">
        <v>0</v>
      </c>
      <c r="M71" s="223">
        <v>25.286400555555559</v>
      </c>
      <c r="N71" s="223">
        <v>0</v>
      </c>
      <c r="O71" s="223">
        <v>0</v>
      </c>
      <c r="P71" s="223">
        <v>12.555425833333334</v>
      </c>
      <c r="Q71" s="223">
        <v>0</v>
      </c>
      <c r="R71" s="223">
        <v>0</v>
      </c>
      <c r="S71" s="223">
        <v>12.80092138888889</v>
      </c>
      <c r="T71" s="223">
        <v>0</v>
      </c>
      <c r="U71" s="223">
        <v>0</v>
      </c>
      <c r="V71" s="223">
        <v>8.2775877777777787</v>
      </c>
      <c r="W71" s="223">
        <v>0</v>
      </c>
      <c r="X71" s="223">
        <v>0</v>
      </c>
      <c r="Y71" s="223">
        <v>10.451150277777778</v>
      </c>
      <c r="Z71" s="223">
        <v>0</v>
      </c>
      <c r="AA71" s="224">
        <v>86.483344791666653</v>
      </c>
    </row>
    <row r="72" spans="2:27" x14ac:dyDescent="0.25">
      <c r="B72" s="216" t="str">
        <f t="shared" si="0"/>
        <v>C355KIS</v>
      </c>
      <c r="C72" s="221" t="s">
        <v>162</v>
      </c>
      <c r="D72" s="222">
        <v>3</v>
      </c>
      <c r="E72" s="222">
        <v>55</v>
      </c>
      <c r="F72" s="221" t="s">
        <v>5</v>
      </c>
      <c r="G72" s="223">
        <v>3.4730250000000003</v>
      </c>
      <c r="H72" s="223">
        <v>0</v>
      </c>
      <c r="I72" s="223">
        <v>0</v>
      </c>
      <c r="J72" s="223">
        <v>2.403431388888889</v>
      </c>
      <c r="K72" s="223">
        <v>0</v>
      </c>
      <c r="L72" s="223">
        <v>0</v>
      </c>
      <c r="M72" s="223">
        <v>5.4703213888888893</v>
      </c>
      <c r="N72" s="223">
        <v>0</v>
      </c>
      <c r="O72" s="223">
        <v>0</v>
      </c>
      <c r="P72" s="223">
        <v>1.1284924999999999</v>
      </c>
      <c r="Q72" s="223">
        <v>0</v>
      </c>
      <c r="R72" s="223">
        <v>0</v>
      </c>
      <c r="S72" s="223">
        <v>0.40199638888888894</v>
      </c>
      <c r="T72" s="223">
        <v>0</v>
      </c>
      <c r="U72" s="223">
        <v>0</v>
      </c>
      <c r="V72" s="223">
        <v>1.7826144444444445</v>
      </c>
      <c r="W72" s="223">
        <v>0</v>
      </c>
      <c r="X72" s="223">
        <v>0</v>
      </c>
      <c r="Y72" s="223">
        <v>0.86829388888888903</v>
      </c>
      <c r="Z72" s="223">
        <v>0</v>
      </c>
      <c r="AA72" s="224">
        <v>16.585635208333333</v>
      </c>
    </row>
    <row r="73" spans="2:27" x14ac:dyDescent="0.25">
      <c r="B73" s="216" t="str">
        <f t="shared" si="0"/>
        <v>C355Pulp</v>
      </c>
      <c r="C73" s="221" t="s">
        <v>162</v>
      </c>
      <c r="D73" s="222">
        <v>3</v>
      </c>
      <c r="E73" s="222">
        <v>55</v>
      </c>
      <c r="F73" s="221" t="s">
        <v>51</v>
      </c>
      <c r="G73" s="223">
        <v>1.3674045833333335</v>
      </c>
      <c r="H73" s="223">
        <v>0</v>
      </c>
      <c r="I73" s="223">
        <v>0</v>
      </c>
      <c r="J73" s="223">
        <v>0</v>
      </c>
      <c r="K73" s="223">
        <v>0</v>
      </c>
      <c r="L73" s="223">
        <v>0</v>
      </c>
      <c r="M73" s="223">
        <v>2.3953704722222224</v>
      </c>
      <c r="N73" s="223">
        <v>0</v>
      </c>
      <c r="O73" s="223">
        <v>0</v>
      </c>
      <c r="P73" s="223">
        <v>0.19705294444444443</v>
      </c>
      <c r="Q73" s="223">
        <v>0</v>
      </c>
      <c r="R73" s="223">
        <v>0</v>
      </c>
      <c r="S73" s="223">
        <v>0</v>
      </c>
      <c r="T73" s="223">
        <v>0</v>
      </c>
      <c r="U73" s="223">
        <v>0</v>
      </c>
      <c r="V73" s="223">
        <v>0.93612000000000006</v>
      </c>
      <c r="W73" s="223">
        <v>0</v>
      </c>
      <c r="X73" s="223">
        <v>0</v>
      </c>
      <c r="Y73" s="223">
        <v>1.3108733333333333</v>
      </c>
      <c r="Z73" s="223">
        <v>0</v>
      </c>
      <c r="AA73" s="224">
        <v>9.0820044000000006</v>
      </c>
    </row>
    <row r="74" spans="2:27" x14ac:dyDescent="0.25">
      <c r="B74" s="216" t="str">
        <f t="shared" si="0"/>
        <v>C355TRV</v>
      </c>
      <c r="C74" s="221" t="s">
        <v>162</v>
      </c>
      <c r="D74" s="222">
        <v>3</v>
      </c>
      <c r="E74" s="222">
        <v>55</v>
      </c>
      <c r="F74" s="221" t="s">
        <v>74</v>
      </c>
      <c r="G74" s="223">
        <v>143.34118097222225</v>
      </c>
      <c r="H74" s="223">
        <v>0</v>
      </c>
      <c r="I74" s="223">
        <v>0</v>
      </c>
      <c r="J74" s="223">
        <v>90.972223611111104</v>
      </c>
      <c r="K74" s="223">
        <v>0</v>
      </c>
      <c r="L74" s="223">
        <v>0</v>
      </c>
      <c r="M74" s="223">
        <v>92.851279361111125</v>
      </c>
      <c r="N74" s="223">
        <v>0</v>
      </c>
      <c r="O74" s="223">
        <v>0</v>
      </c>
      <c r="P74" s="223">
        <v>74.481129611111115</v>
      </c>
      <c r="Q74" s="223">
        <v>0</v>
      </c>
      <c r="R74" s="223">
        <v>0</v>
      </c>
      <c r="S74" s="223">
        <v>33.001384444444447</v>
      </c>
      <c r="T74" s="223">
        <v>0</v>
      </c>
      <c r="U74" s="223">
        <v>0</v>
      </c>
      <c r="V74" s="223">
        <v>41.769430000000007</v>
      </c>
      <c r="W74" s="223">
        <v>0</v>
      </c>
      <c r="X74" s="223">
        <v>0</v>
      </c>
      <c r="Y74" s="223">
        <v>42.585812222222224</v>
      </c>
      <c r="Z74" s="223">
        <v>0</v>
      </c>
      <c r="AA74" s="224">
        <v>357.2934090249999</v>
      </c>
    </row>
    <row r="75" spans="2:27" x14ac:dyDescent="0.25">
      <c r="B75" s="216" t="str">
        <f t="shared" si="0"/>
        <v>C355Stem/ha</v>
      </c>
      <c r="C75" s="221" t="s">
        <v>162</v>
      </c>
      <c r="D75" s="222">
        <v>3</v>
      </c>
      <c r="E75" s="222">
        <v>55</v>
      </c>
      <c r="F75" s="221" t="s">
        <v>85</v>
      </c>
      <c r="G75" s="223">
        <v>58.333333333333336</v>
      </c>
      <c r="H75" s="223">
        <v>0</v>
      </c>
      <c r="I75" s="223">
        <v>0</v>
      </c>
      <c r="J75" s="223">
        <v>36.111111111111114</v>
      </c>
      <c r="K75" s="223">
        <v>0</v>
      </c>
      <c r="L75" s="223">
        <v>0</v>
      </c>
      <c r="M75" s="223">
        <v>38.888888888888893</v>
      </c>
      <c r="N75" s="223">
        <v>0</v>
      </c>
      <c r="O75" s="223">
        <v>0</v>
      </c>
      <c r="P75" s="223">
        <v>27.777777777777779</v>
      </c>
      <c r="Q75" s="223">
        <v>0</v>
      </c>
      <c r="R75" s="223">
        <v>0</v>
      </c>
      <c r="S75" s="223">
        <v>13.888888888888889</v>
      </c>
      <c r="T75" s="223">
        <v>0</v>
      </c>
      <c r="U75" s="223">
        <v>0</v>
      </c>
      <c r="V75" s="223">
        <v>16.666666666666668</v>
      </c>
      <c r="W75" s="223">
        <v>0</v>
      </c>
      <c r="X75" s="223">
        <v>0</v>
      </c>
      <c r="Y75" s="223">
        <v>13.888888888888889</v>
      </c>
      <c r="Z75" s="223">
        <v>0</v>
      </c>
      <c r="AA75" s="224">
        <v>186.66666666666666</v>
      </c>
    </row>
    <row r="76" spans="2:27" x14ac:dyDescent="0.25">
      <c r="B76" s="216" t="str">
        <f t="shared" si="0"/>
        <v>C350Pruned</v>
      </c>
      <c r="C76" s="217" t="s">
        <v>162</v>
      </c>
      <c r="D76" s="218">
        <v>3</v>
      </c>
      <c r="E76" s="218">
        <v>50</v>
      </c>
      <c r="F76" s="217" t="s">
        <v>1</v>
      </c>
      <c r="G76" s="219">
        <v>121.59225916666665</v>
      </c>
      <c r="H76" s="219">
        <v>0</v>
      </c>
      <c r="I76" s="219">
        <v>0</v>
      </c>
      <c r="J76" s="219">
        <v>28.031588888888891</v>
      </c>
      <c r="K76" s="219">
        <v>0</v>
      </c>
      <c r="L76" s="219">
        <v>0</v>
      </c>
      <c r="M76" s="219">
        <v>13.6460575</v>
      </c>
      <c r="N76" s="219">
        <v>0</v>
      </c>
      <c r="O76" s="219">
        <v>0</v>
      </c>
      <c r="P76" s="219">
        <v>11.741580000000001</v>
      </c>
      <c r="Q76" s="219">
        <v>0</v>
      </c>
      <c r="R76" s="219">
        <v>0</v>
      </c>
      <c r="S76" s="219">
        <v>4.5088119444444441</v>
      </c>
      <c r="T76" s="219">
        <v>0</v>
      </c>
      <c r="U76" s="219">
        <v>0</v>
      </c>
      <c r="V76" s="219">
        <v>5.0935538888888887</v>
      </c>
      <c r="W76" s="219">
        <v>0</v>
      </c>
      <c r="X76" s="219">
        <v>0</v>
      </c>
      <c r="Y76" s="219">
        <v>6.9016236111111109</v>
      </c>
      <c r="Z76" s="219">
        <v>0</v>
      </c>
      <c r="AA76" s="220">
        <v>30.068810624999998</v>
      </c>
    </row>
    <row r="77" spans="2:27" x14ac:dyDescent="0.25">
      <c r="B77" s="216" t="str">
        <f t="shared" si="0"/>
        <v>C350AO</v>
      </c>
      <c r="C77" s="217" t="s">
        <v>162</v>
      </c>
      <c r="D77" s="218">
        <v>3</v>
      </c>
      <c r="E77" s="218">
        <v>50</v>
      </c>
      <c r="F77" s="217" t="s">
        <v>52</v>
      </c>
      <c r="G77" s="219">
        <v>0</v>
      </c>
      <c r="H77" s="219">
        <v>0</v>
      </c>
      <c r="I77" s="219">
        <v>0</v>
      </c>
      <c r="J77" s="219">
        <v>0</v>
      </c>
      <c r="K77" s="219">
        <v>0</v>
      </c>
      <c r="L77" s="219">
        <v>0</v>
      </c>
      <c r="M77" s="219">
        <v>0</v>
      </c>
      <c r="N77" s="219">
        <v>0</v>
      </c>
      <c r="O77" s="219">
        <v>0</v>
      </c>
      <c r="P77" s="219">
        <v>0</v>
      </c>
      <c r="Q77" s="219">
        <v>0</v>
      </c>
      <c r="R77" s="219">
        <v>0</v>
      </c>
      <c r="S77" s="219">
        <v>0</v>
      </c>
      <c r="T77" s="219">
        <v>0</v>
      </c>
      <c r="U77" s="219">
        <v>0</v>
      </c>
      <c r="V77" s="219">
        <v>0</v>
      </c>
      <c r="W77" s="219">
        <v>0</v>
      </c>
      <c r="X77" s="219">
        <v>0</v>
      </c>
      <c r="Y77" s="219">
        <v>0</v>
      </c>
      <c r="Z77" s="219">
        <v>0</v>
      </c>
      <c r="AA77" s="220">
        <v>0</v>
      </c>
    </row>
    <row r="78" spans="2:27" x14ac:dyDescent="0.25">
      <c r="B78" s="216" t="str">
        <f t="shared" si="0"/>
        <v>C350A</v>
      </c>
      <c r="C78" s="217" t="s">
        <v>162</v>
      </c>
      <c r="D78" s="218">
        <v>3</v>
      </c>
      <c r="E78" s="218">
        <v>50</v>
      </c>
      <c r="F78" s="217" t="s">
        <v>2</v>
      </c>
      <c r="G78" s="219">
        <v>90.220557222222197</v>
      </c>
      <c r="H78" s="219">
        <v>0</v>
      </c>
      <c r="I78" s="219">
        <v>0</v>
      </c>
      <c r="J78" s="219">
        <v>13.815133333333332</v>
      </c>
      <c r="K78" s="219">
        <v>0</v>
      </c>
      <c r="L78" s="219">
        <v>0</v>
      </c>
      <c r="M78" s="219">
        <v>9.0416549999999987</v>
      </c>
      <c r="N78" s="219">
        <v>0</v>
      </c>
      <c r="O78" s="219">
        <v>0</v>
      </c>
      <c r="P78" s="219">
        <v>13.360062222222224</v>
      </c>
      <c r="Q78" s="219">
        <v>0</v>
      </c>
      <c r="R78" s="219">
        <v>0</v>
      </c>
      <c r="S78" s="219">
        <v>6.3194247222222222</v>
      </c>
      <c r="T78" s="219">
        <v>0</v>
      </c>
      <c r="U78" s="219">
        <v>0</v>
      </c>
      <c r="V78" s="219">
        <v>2.6527058333333335</v>
      </c>
      <c r="W78" s="219">
        <v>0</v>
      </c>
      <c r="X78" s="219">
        <v>0</v>
      </c>
      <c r="Y78" s="219">
        <v>10.866681944444446</v>
      </c>
      <c r="Z78" s="219">
        <v>0</v>
      </c>
      <c r="AA78" s="220">
        <v>51.07776888888889</v>
      </c>
    </row>
    <row r="79" spans="2:27" x14ac:dyDescent="0.25">
      <c r="B79" s="216" t="str">
        <f t="shared" si="0"/>
        <v>C350K</v>
      </c>
      <c r="C79" s="217" t="s">
        <v>162</v>
      </c>
      <c r="D79" s="218">
        <v>3</v>
      </c>
      <c r="E79" s="218">
        <v>50</v>
      </c>
      <c r="F79" s="217" t="s">
        <v>3</v>
      </c>
      <c r="G79" s="219">
        <v>24.383481111111109</v>
      </c>
      <c r="H79" s="219">
        <v>0</v>
      </c>
      <c r="I79" s="219">
        <v>0</v>
      </c>
      <c r="J79" s="219">
        <v>7.0243691666666663</v>
      </c>
      <c r="K79" s="219">
        <v>0</v>
      </c>
      <c r="L79" s="219">
        <v>0</v>
      </c>
      <c r="M79" s="219">
        <v>4.0189519444444448</v>
      </c>
      <c r="N79" s="219">
        <v>0</v>
      </c>
      <c r="O79" s="219">
        <v>0</v>
      </c>
      <c r="P79" s="219">
        <v>3.9296369444444448</v>
      </c>
      <c r="Q79" s="219">
        <v>0</v>
      </c>
      <c r="R79" s="219">
        <v>0</v>
      </c>
      <c r="S79" s="219">
        <v>1.0565730555555555</v>
      </c>
      <c r="T79" s="219">
        <v>0</v>
      </c>
      <c r="U79" s="219">
        <v>0</v>
      </c>
      <c r="V79" s="219">
        <v>1.3241994444444445</v>
      </c>
      <c r="W79" s="219">
        <v>0</v>
      </c>
      <c r="X79" s="219">
        <v>0</v>
      </c>
      <c r="Y79" s="219">
        <v>4.5690447222222232</v>
      </c>
      <c r="Z79" s="219">
        <v>0</v>
      </c>
      <c r="AA79" s="220">
        <v>43.10312416666666</v>
      </c>
    </row>
    <row r="80" spans="2:27" x14ac:dyDescent="0.25">
      <c r="B80" s="216" t="str">
        <f t="shared" si="0"/>
        <v>C350KI</v>
      </c>
      <c r="C80" s="217" t="s">
        <v>162</v>
      </c>
      <c r="D80" s="218">
        <v>3</v>
      </c>
      <c r="E80" s="218">
        <v>50</v>
      </c>
      <c r="F80" s="217" t="s">
        <v>4</v>
      </c>
      <c r="G80" s="219">
        <v>94.150554444444452</v>
      </c>
      <c r="H80" s="219">
        <v>0</v>
      </c>
      <c r="I80" s="219">
        <v>0</v>
      </c>
      <c r="J80" s="219">
        <v>20.172033333333335</v>
      </c>
      <c r="K80" s="219">
        <v>0</v>
      </c>
      <c r="L80" s="219">
        <v>0</v>
      </c>
      <c r="M80" s="219">
        <v>9.029610555555557</v>
      </c>
      <c r="N80" s="219">
        <v>0</v>
      </c>
      <c r="O80" s="219">
        <v>0</v>
      </c>
      <c r="P80" s="219">
        <v>8.0662811111111115</v>
      </c>
      <c r="Q80" s="219">
        <v>0</v>
      </c>
      <c r="R80" s="219">
        <v>0</v>
      </c>
      <c r="S80" s="219">
        <v>6.9297752777777788</v>
      </c>
      <c r="T80" s="219">
        <v>0</v>
      </c>
      <c r="U80" s="219">
        <v>0</v>
      </c>
      <c r="V80" s="219">
        <v>2.9262183333333334</v>
      </c>
      <c r="W80" s="219">
        <v>0</v>
      </c>
      <c r="X80" s="219">
        <v>0</v>
      </c>
      <c r="Y80" s="219">
        <v>5.2819649999999996</v>
      </c>
      <c r="Z80" s="219">
        <v>0</v>
      </c>
      <c r="AA80" s="220">
        <v>41.135950555555567</v>
      </c>
    </row>
    <row r="81" spans="2:27" x14ac:dyDescent="0.25">
      <c r="B81" s="216" t="str">
        <f t="shared" si="0"/>
        <v>C350KIS</v>
      </c>
      <c r="C81" s="217" t="s">
        <v>162</v>
      </c>
      <c r="D81" s="218">
        <v>3</v>
      </c>
      <c r="E81" s="218">
        <v>50</v>
      </c>
      <c r="F81" s="217" t="s">
        <v>5</v>
      </c>
      <c r="G81" s="219">
        <v>15.109087361111115</v>
      </c>
      <c r="H81" s="219">
        <v>0</v>
      </c>
      <c r="I81" s="219">
        <v>0</v>
      </c>
      <c r="J81" s="219">
        <v>3.5695394722222225</v>
      </c>
      <c r="K81" s="219">
        <v>0</v>
      </c>
      <c r="L81" s="219">
        <v>0</v>
      </c>
      <c r="M81" s="219">
        <v>1.2752675</v>
      </c>
      <c r="N81" s="219">
        <v>0</v>
      </c>
      <c r="O81" s="219">
        <v>0</v>
      </c>
      <c r="P81" s="219">
        <v>1.2144585555555556</v>
      </c>
      <c r="Q81" s="219">
        <v>0</v>
      </c>
      <c r="R81" s="219">
        <v>0</v>
      </c>
      <c r="S81" s="219">
        <v>0.74029083333333334</v>
      </c>
      <c r="T81" s="219">
        <v>0</v>
      </c>
      <c r="U81" s="219">
        <v>0</v>
      </c>
      <c r="V81" s="219">
        <v>0.35407638888888893</v>
      </c>
      <c r="W81" s="219">
        <v>0</v>
      </c>
      <c r="X81" s="219">
        <v>0</v>
      </c>
      <c r="Y81" s="219">
        <v>0.72205416666666666</v>
      </c>
      <c r="Z81" s="219">
        <v>0</v>
      </c>
      <c r="AA81" s="220">
        <v>11.953195416666668</v>
      </c>
    </row>
    <row r="82" spans="2:27" x14ac:dyDescent="0.25">
      <c r="B82" s="216" t="str">
        <f t="shared" si="0"/>
        <v>C350Pulp</v>
      </c>
      <c r="C82" s="217" t="s">
        <v>162</v>
      </c>
      <c r="D82" s="218">
        <v>3</v>
      </c>
      <c r="E82" s="218">
        <v>50</v>
      </c>
      <c r="F82" s="217" t="s">
        <v>51</v>
      </c>
      <c r="G82" s="219">
        <v>5.0559654444444435</v>
      </c>
      <c r="H82" s="219">
        <v>0</v>
      </c>
      <c r="I82" s="219">
        <v>0</v>
      </c>
      <c r="J82" s="219">
        <v>0.97313113888888891</v>
      </c>
      <c r="K82" s="219">
        <v>0</v>
      </c>
      <c r="L82" s="219">
        <v>0</v>
      </c>
      <c r="M82" s="219">
        <v>2.0093617222222226</v>
      </c>
      <c r="N82" s="219">
        <v>0</v>
      </c>
      <c r="O82" s="219">
        <v>0</v>
      </c>
      <c r="P82" s="219">
        <v>0.39434655555555553</v>
      </c>
      <c r="Q82" s="219">
        <v>0</v>
      </c>
      <c r="R82" s="219">
        <v>0</v>
      </c>
      <c r="S82" s="219">
        <v>0</v>
      </c>
      <c r="T82" s="219">
        <v>0</v>
      </c>
      <c r="U82" s="219">
        <v>0</v>
      </c>
      <c r="V82" s="219">
        <v>0</v>
      </c>
      <c r="W82" s="219">
        <v>0</v>
      </c>
      <c r="X82" s="219">
        <v>0</v>
      </c>
      <c r="Y82" s="219">
        <v>0.90695611111111119</v>
      </c>
      <c r="Z82" s="219">
        <v>0</v>
      </c>
      <c r="AA82" s="220">
        <v>5.1068228611111124</v>
      </c>
    </row>
    <row r="83" spans="2:27" x14ac:dyDescent="0.25">
      <c r="B83" s="216" t="str">
        <f t="shared" si="0"/>
        <v>C350TRV</v>
      </c>
      <c r="C83" s="217" t="s">
        <v>162</v>
      </c>
      <c r="D83" s="218">
        <v>3</v>
      </c>
      <c r="E83" s="218">
        <v>50</v>
      </c>
      <c r="F83" s="217" t="s">
        <v>74</v>
      </c>
      <c r="G83" s="219">
        <v>350.5119047500001</v>
      </c>
      <c r="H83" s="219">
        <v>0</v>
      </c>
      <c r="I83" s="219">
        <v>0</v>
      </c>
      <c r="J83" s="219">
        <v>73.585795333333337</v>
      </c>
      <c r="K83" s="219">
        <v>0</v>
      </c>
      <c r="L83" s="219">
        <v>0</v>
      </c>
      <c r="M83" s="219">
        <v>39.020904222222221</v>
      </c>
      <c r="N83" s="219">
        <v>0</v>
      </c>
      <c r="O83" s="219">
        <v>0</v>
      </c>
      <c r="P83" s="219">
        <v>38.706365388888884</v>
      </c>
      <c r="Q83" s="219">
        <v>0</v>
      </c>
      <c r="R83" s="219">
        <v>0</v>
      </c>
      <c r="S83" s="219">
        <v>19.554875833333334</v>
      </c>
      <c r="T83" s="219">
        <v>0</v>
      </c>
      <c r="U83" s="219">
        <v>0</v>
      </c>
      <c r="V83" s="219">
        <v>12.350753888888889</v>
      </c>
      <c r="W83" s="219">
        <v>0</v>
      </c>
      <c r="X83" s="219">
        <v>0</v>
      </c>
      <c r="Y83" s="219">
        <v>29.248325555555557</v>
      </c>
      <c r="Z83" s="219">
        <v>0</v>
      </c>
      <c r="AA83" s="220">
        <v>181.01382438888891</v>
      </c>
    </row>
    <row r="84" spans="2:27" x14ac:dyDescent="0.25">
      <c r="B84" s="216" t="str">
        <f t="shared" si="0"/>
        <v>C350Stem/ha</v>
      </c>
      <c r="C84" s="217" t="s">
        <v>162</v>
      </c>
      <c r="D84" s="218">
        <v>3</v>
      </c>
      <c r="E84" s="218">
        <v>50</v>
      </c>
      <c r="F84" s="217" t="s">
        <v>85</v>
      </c>
      <c r="G84" s="219">
        <v>166.66666666666669</v>
      </c>
      <c r="H84" s="219">
        <v>0</v>
      </c>
      <c r="I84" s="219">
        <v>0</v>
      </c>
      <c r="J84" s="219">
        <v>38.888888888888893</v>
      </c>
      <c r="K84" s="219">
        <v>0</v>
      </c>
      <c r="L84" s="219">
        <v>0</v>
      </c>
      <c r="M84" s="219">
        <v>19.444444444444446</v>
      </c>
      <c r="N84" s="219">
        <v>0</v>
      </c>
      <c r="O84" s="219">
        <v>0</v>
      </c>
      <c r="P84" s="219">
        <v>16.666666666666668</v>
      </c>
      <c r="Q84" s="219">
        <v>0</v>
      </c>
      <c r="R84" s="219">
        <v>0</v>
      </c>
      <c r="S84" s="219">
        <v>8.3333333333333339</v>
      </c>
      <c r="T84" s="219">
        <v>0</v>
      </c>
      <c r="U84" s="219">
        <v>0</v>
      </c>
      <c r="V84" s="219">
        <v>5.5555555555555554</v>
      </c>
      <c r="W84" s="219">
        <v>0</v>
      </c>
      <c r="X84" s="219">
        <v>0</v>
      </c>
      <c r="Y84" s="219">
        <v>11.111111111111111</v>
      </c>
      <c r="Z84" s="219">
        <v>0</v>
      </c>
      <c r="AA84" s="220">
        <v>116.66666666666667</v>
      </c>
    </row>
    <row r="85" spans="2:27" x14ac:dyDescent="0.25">
      <c r="B85" s="216" t="str">
        <f t="shared" si="0"/>
        <v>C345Pruned</v>
      </c>
      <c r="C85" s="221" t="s">
        <v>162</v>
      </c>
      <c r="D85" s="222">
        <v>3</v>
      </c>
      <c r="E85" s="222">
        <v>45</v>
      </c>
      <c r="F85" s="221" t="s">
        <v>1</v>
      </c>
      <c r="G85" s="223">
        <v>167.52883888888888</v>
      </c>
      <c r="H85" s="223">
        <v>0</v>
      </c>
      <c r="I85" s="223">
        <v>0</v>
      </c>
      <c r="J85" s="223">
        <v>7.0565002777777774</v>
      </c>
      <c r="K85" s="223">
        <v>0</v>
      </c>
      <c r="L85" s="223">
        <v>0</v>
      </c>
      <c r="M85" s="223">
        <v>9.7440650000000026</v>
      </c>
      <c r="N85" s="223">
        <v>0</v>
      </c>
      <c r="O85" s="223">
        <v>0</v>
      </c>
      <c r="P85" s="223">
        <v>3.7480536111111111</v>
      </c>
      <c r="Q85" s="223">
        <v>0</v>
      </c>
      <c r="R85" s="223">
        <v>0</v>
      </c>
      <c r="S85" s="223">
        <v>5.6208938888888893</v>
      </c>
      <c r="T85" s="223">
        <v>0</v>
      </c>
      <c r="U85" s="223">
        <v>0</v>
      </c>
      <c r="V85" s="223">
        <v>1.8576050000000002</v>
      </c>
      <c r="W85" s="223">
        <v>0</v>
      </c>
      <c r="X85" s="223">
        <v>0</v>
      </c>
      <c r="Y85" s="223">
        <v>1.4641747222222223</v>
      </c>
      <c r="Z85" s="223">
        <v>0</v>
      </c>
      <c r="AA85" s="224">
        <v>1.4789859583333334</v>
      </c>
    </row>
    <row r="86" spans="2:27" x14ac:dyDescent="0.25">
      <c r="B86" s="216" t="str">
        <f t="shared" si="0"/>
        <v>C345AO</v>
      </c>
      <c r="C86" s="221" t="s">
        <v>162</v>
      </c>
      <c r="D86" s="222">
        <v>3</v>
      </c>
      <c r="E86" s="222">
        <v>45</v>
      </c>
      <c r="F86" s="221" t="s">
        <v>52</v>
      </c>
      <c r="G86" s="223">
        <v>0</v>
      </c>
      <c r="H86" s="223">
        <v>0</v>
      </c>
      <c r="I86" s="223">
        <v>0</v>
      </c>
      <c r="J86" s="223">
        <v>0</v>
      </c>
      <c r="K86" s="223">
        <v>0</v>
      </c>
      <c r="L86" s="223">
        <v>0</v>
      </c>
      <c r="M86" s="223">
        <v>0</v>
      </c>
      <c r="N86" s="223">
        <v>0</v>
      </c>
      <c r="O86" s="223">
        <v>0</v>
      </c>
      <c r="P86" s="223">
        <v>0</v>
      </c>
      <c r="Q86" s="223">
        <v>0</v>
      </c>
      <c r="R86" s="223">
        <v>0</v>
      </c>
      <c r="S86" s="223">
        <v>0</v>
      </c>
      <c r="T86" s="223">
        <v>0</v>
      </c>
      <c r="U86" s="223">
        <v>0</v>
      </c>
      <c r="V86" s="223">
        <v>0</v>
      </c>
      <c r="W86" s="223">
        <v>0</v>
      </c>
      <c r="X86" s="223">
        <v>0</v>
      </c>
      <c r="Y86" s="223">
        <v>0</v>
      </c>
      <c r="Z86" s="223">
        <v>0</v>
      </c>
      <c r="AA86" s="224">
        <v>0</v>
      </c>
    </row>
    <row r="87" spans="2:27" x14ac:dyDescent="0.25">
      <c r="B87" s="216" t="str">
        <f t="shared" ref="B87:B150" si="1">C87&amp;D87&amp;E87&amp;F87</f>
        <v>C345A</v>
      </c>
      <c r="C87" s="221" t="s">
        <v>162</v>
      </c>
      <c r="D87" s="222">
        <v>3</v>
      </c>
      <c r="E87" s="222">
        <v>45</v>
      </c>
      <c r="F87" s="221" t="s">
        <v>2</v>
      </c>
      <c r="G87" s="223">
        <v>115.60770805555555</v>
      </c>
      <c r="H87" s="223">
        <v>0</v>
      </c>
      <c r="I87" s="223">
        <v>0</v>
      </c>
      <c r="J87" s="223">
        <v>5.3573436111111112</v>
      </c>
      <c r="K87" s="223">
        <v>0</v>
      </c>
      <c r="L87" s="223">
        <v>0</v>
      </c>
      <c r="M87" s="223">
        <v>8.6665500000000009</v>
      </c>
      <c r="N87" s="223">
        <v>0</v>
      </c>
      <c r="O87" s="223">
        <v>0</v>
      </c>
      <c r="P87" s="223">
        <v>4.7161791666666675</v>
      </c>
      <c r="Q87" s="223">
        <v>0</v>
      </c>
      <c r="R87" s="223">
        <v>0</v>
      </c>
      <c r="S87" s="223">
        <v>5.2861147222222229</v>
      </c>
      <c r="T87" s="223">
        <v>0</v>
      </c>
      <c r="U87" s="223">
        <v>0</v>
      </c>
      <c r="V87" s="223">
        <v>1.6272033333333333</v>
      </c>
      <c r="W87" s="223">
        <v>0</v>
      </c>
      <c r="X87" s="223">
        <v>0</v>
      </c>
      <c r="Y87" s="223">
        <v>2.5963944444444444</v>
      </c>
      <c r="Z87" s="223">
        <v>0</v>
      </c>
      <c r="AA87" s="224">
        <v>14.911587833333334</v>
      </c>
    </row>
    <row r="88" spans="2:27" x14ac:dyDescent="0.25">
      <c r="B88" s="216" t="str">
        <f t="shared" si="1"/>
        <v>C345K</v>
      </c>
      <c r="C88" s="221" t="s">
        <v>162</v>
      </c>
      <c r="D88" s="222">
        <v>3</v>
      </c>
      <c r="E88" s="222">
        <v>45</v>
      </c>
      <c r="F88" s="221" t="s">
        <v>3</v>
      </c>
      <c r="G88" s="223">
        <v>41.860361944444456</v>
      </c>
      <c r="H88" s="223">
        <v>0</v>
      </c>
      <c r="I88" s="223">
        <v>0</v>
      </c>
      <c r="J88" s="223">
        <v>2.2679852777777776</v>
      </c>
      <c r="K88" s="223">
        <v>0</v>
      </c>
      <c r="L88" s="223">
        <v>0</v>
      </c>
      <c r="M88" s="223">
        <v>7.8018613888888879</v>
      </c>
      <c r="N88" s="223">
        <v>0</v>
      </c>
      <c r="O88" s="223">
        <v>0</v>
      </c>
      <c r="P88" s="223">
        <v>5.8339341666666673</v>
      </c>
      <c r="Q88" s="223">
        <v>0</v>
      </c>
      <c r="R88" s="223">
        <v>0</v>
      </c>
      <c r="S88" s="223">
        <v>5.1325741666666671</v>
      </c>
      <c r="T88" s="223">
        <v>0</v>
      </c>
      <c r="U88" s="223">
        <v>0</v>
      </c>
      <c r="V88" s="223">
        <v>1.6457300000000001</v>
      </c>
      <c r="W88" s="223">
        <v>0</v>
      </c>
      <c r="X88" s="223">
        <v>0</v>
      </c>
      <c r="Y88" s="223">
        <v>0</v>
      </c>
      <c r="Z88" s="223">
        <v>0</v>
      </c>
      <c r="AA88" s="224">
        <v>25.750646541666672</v>
      </c>
    </row>
    <row r="89" spans="2:27" x14ac:dyDescent="0.25">
      <c r="B89" s="216" t="str">
        <f t="shared" si="1"/>
        <v>C345KI</v>
      </c>
      <c r="C89" s="221" t="s">
        <v>162</v>
      </c>
      <c r="D89" s="222">
        <v>3</v>
      </c>
      <c r="E89" s="222">
        <v>45</v>
      </c>
      <c r="F89" s="221" t="s">
        <v>4</v>
      </c>
      <c r="G89" s="223">
        <v>128.10610916666664</v>
      </c>
      <c r="H89" s="223">
        <v>0</v>
      </c>
      <c r="I89" s="223">
        <v>0</v>
      </c>
      <c r="J89" s="223">
        <v>2.7525688888888893</v>
      </c>
      <c r="K89" s="223">
        <v>0</v>
      </c>
      <c r="L89" s="223">
        <v>0</v>
      </c>
      <c r="M89" s="223">
        <v>3.1935808333333333</v>
      </c>
      <c r="N89" s="223">
        <v>0</v>
      </c>
      <c r="O89" s="223">
        <v>0</v>
      </c>
      <c r="P89" s="223">
        <v>5.395105833333333</v>
      </c>
      <c r="Q89" s="223">
        <v>0</v>
      </c>
      <c r="R89" s="223">
        <v>0</v>
      </c>
      <c r="S89" s="223">
        <v>7.7365433333333344</v>
      </c>
      <c r="T89" s="223">
        <v>0</v>
      </c>
      <c r="U89" s="223">
        <v>0</v>
      </c>
      <c r="V89" s="223">
        <v>0</v>
      </c>
      <c r="W89" s="223">
        <v>0</v>
      </c>
      <c r="X89" s="223">
        <v>0</v>
      </c>
      <c r="Y89" s="223">
        <v>4.096126388888889</v>
      </c>
      <c r="Z89" s="223">
        <v>0</v>
      </c>
      <c r="AA89" s="224">
        <v>17.847417</v>
      </c>
    </row>
    <row r="90" spans="2:27" x14ac:dyDescent="0.25">
      <c r="B90" s="216" t="str">
        <f t="shared" si="1"/>
        <v>C345KIS</v>
      </c>
      <c r="C90" s="221" t="s">
        <v>162</v>
      </c>
      <c r="D90" s="222">
        <v>3</v>
      </c>
      <c r="E90" s="222">
        <v>45</v>
      </c>
      <c r="F90" s="221" t="s">
        <v>5</v>
      </c>
      <c r="G90" s="223">
        <v>23.28571052777778</v>
      </c>
      <c r="H90" s="223">
        <v>0</v>
      </c>
      <c r="I90" s="223">
        <v>0</v>
      </c>
      <c r="J90" s="223">
        <v>0</v>
      </c>
      <c r="K90" s="223">
        <v>0</v>
      </c>
      <c r="L90" s="223">
        <v>0</v>
      </c>
      <c r="M90" s="223">
        <v>3.8215052500000004</v>
      </c>
      <c r="N90" s="223">
        <v>0</v>
      </c>
      <c r="O90" s="223">
        <v>0</v>
      </c>
      <c r="P90" s="223">
        <v>1.3990400555555553</v>
      </c>
      <c r="Q90" s="223">
        <v>0</v>
      </c>
      <c r="R90" s="223">
        <v>0</v>
      </c>
      <c r="S90" s="223">
        <v>1.6939218055555558</v>
      </c>
      <c r="T90" s="223">
        <v>0</v>
      </c>
      <c r="U90" s="223">
        <v>0</v>
      </c>
      <c r="V90" s="223">
        <v>0.59345277777777783</v>
      </c>
      <c r="W90" s="223">
        <v>0</v>
      </c>
      <c r="X90" s="223">
        <v>0</v>
      </c>
      <c r="Y90" s="223">
        <v>0.48117638888888892</v>
      </c>
      <c r="Z90" s="223">
        <v>0</v>
      </c>
      <c r="AA90" s="224">
        <v>4.7675855791666679</v>
      </c>
    </row>
    <row r="91" spans="2:27" x14ac:dyDescent="0.25">
      <c r="B91" s="216" t="str">
        <f t="shared" si="1"/>
        <v>C345Pulp</v>
      </c>
      <c r="C91" s="221" t="s">
        <v>162</v>
      </c>
      <c r="D91" s="222">
        <v>3</v>
      </c>
      <c r="E91" s="222">
        <v>45</v>
      </c>
      <c r="F91" s="221" t="s">
        <v>51</v>
      </c>
      <c r="G91" s="223">
        <v>9.2664910000000003</v>
      </c>
      <c r="H91" s="223">
        <v>0</v>
      </c>
      <c r="I91" s="223">
        <v>0</v>
      </c>
      <c r="J91" s="223">
        <v>0.46381833333333333</v>
      </c>
      <c r="K91" s="223">
        <v>0</v>
      </c>
      <c r="L91" s="223">
        <v>0</v>
      </c>
      <c r="M91" s="223">
        <v>2.7436111388888889</v>
      </c>
      <c r="N91" s="223">
        <v>0</v>
      </c>
      <c r="O91" s="223">
        <v>0</v>
      </c>
      <c r="P91" s="223">
        <v>0.41175519444444442</v>
      </c>
      <c r="Q91" s="223">
        <v>0</v>
      </c>
      <c r="R91" s="223">
        <v>0</v>
      </c>
      <c r="S91" s="223">
        <v>0.30230205555555556</v>
      </c>
      <c r="T91" s="223">
        <v>0</v>
      </c>
      <c r="U91" s="223">
        <v>0</v>
      </c>
      <c r="V91" s="223">
        <v>0</v>
      </c>
      <c r="W91" s="223">
        <v>0</v>
      </c>
      <c r="X91" s="223">
        <v>0</v>
      </c>
      <c r="Y91" s="223">
        <v>0.70894611111111117</v>
      </c>
      <c r="Z91" s="223">
        <v>0</v>
      </c>
      <c r="AA91" s="224">
        <v>2.8328192666666672</v>
      </c>
    </row>
    <row r="92" spans="2:27" x14ac:dyDescent="0.25">
      <c r="B92" s="216" t="str">
        <f t="shared" si="1"/>
        <v>C345TRV</v>
      </c>
      <c r="C92" s="221" t="s">
        <v>162</v>
      </c>
      <c r="D92" s="222">
        <v>3</v>
      </c>
      <c r="E92" s="222">
        <v>45</v>
      </c>
      <c r="F92" s="221" t="s">
        <v>74</v>
      </c>
      <c r="G92" s="223">
        <v>485.65521958333329</v>
      </c>
      <c r="H92" s="223">
        <v>0</v>
      </c>
      <c r="I92" s="223">
        <v>0</v>
      </c>
      <c r="J92" s="223">
        <v>17.898216388888891</v>
      </c>
      <c r="K92" s="223">
        <v>0</v>
      </c>
      <c r="L92" s="223">
        <v>0</v>
      </c>
      <c r="M92" s="223">
        <v>35.971173611111112</v>
      </c>
      <c r="N92" s="223">
        <v>0</v>
      </c>
      <c r="O92" s="223">
        <v>0</v>
      </c>
      <c r="P92" s="223">
        <v>21.50406802777778</v>
      </c>
      <c r="Q92" s="223">
        <v>0</v>
      </c>
      <c r="R92" s="223">
        <v>0</v>
      </c>
      <c r="S92" s="223">
        <v>25.772349972222219</v>
      </c>
      <c r="T92" s="223">
        <v>0</v>
      </c>
      <c r="U92" s="223">
        <v>0</v>
      </c>
      <c r="V92" s="223">
        <v>5.7239911111111121</v>
      </c>
      <c r="W92" s="223">
        <v>0</v>
      </c>
      <c r="X92" s="223">
        <v>0</v>
      </c>
      <c r="Y92" s="223">
        <v>9.3468180555555556</v>
      </c>
      <c r="Z92" s="223">
        <v>0</v>
      </c>
      <c r="AA92" s="224">
        <v>67.589042179166654</v>
      </c>
    </row>
    <row r="93" spans="2:27" x14ac:dyDescent="0.25">
      <c r="B93" s="216" t="str">
        <f t="shared" si="1"/>
        <v>C345Stem/ha</v>
      </c>
      <c r="C93" s="221" t="s">
        <v>162</v>
      </c>
      <c r="D93" s="222">
        <v>3</v>
      </c>
      <c r="E93" s="222">
        <v>45</v>
      </c>
      <c r="F93" s="221" t="s">
        <v>85</v>
      </c>
      <c r="G93" s="223">
        <v>252.7777777777778</v>
      </c>
      <c r="H93" s="223">
        <v>0</v>
      </c>
      <c r="I93" s="223">
        <v>0</v>
      </c>
      <c r="J93" s="223">
        <v>11.111111111111111</v>
      </c>
      <c r="K93" s="223">
        <v>0</v>
      </c>
      <c r="L93" s="223">
        <v>0</v>
      </c>
      <c r="M93" s="223">
        <v>22.222222222222221</v>
      </c>
      <c r="N93" s="223">
        <v>0</v>
      </c>
      <c r="O93" s="223">
        <v>0</v>
      </c>
      <c r="P93" s="223">
        <v>13.888888888888889</v>
      </c>
      <c r="Q93" s="223">
        <v>0</v>
      </c>
      <c r="R93" s="223">
        <v>0</v>
      </c>
      <c r="S93" s="223">
        <v>13.888888888888889</v>
      </c>
      <c r="T93" s="223">
        <v>0</v>
      </c>
      <c r="U93" s="223">
        <v>0</v>
      </c>
      <c r="V93" s="223">
        <v>2.7777777777777777</v>
      </c>
      <c r="W93" s="223">
        <v>0</v>
      </c>
      <c r="X93" s="223">
        <v>0</v>
      </c>
      <c r="Y93" s="223">
        <v>5.5555555555555554</v>
      </c>
      <c r="Z93" s="223">
        <v>0</v>
      </c>
      <c r="AA93" s="224">
        <v>64.166666666666671</v>
      </c>
    </row>
    <row r="94" spans="2:27" x14ac:dyDescent="0.25">
      <c r="B94" s="216" t="str">
        <f t="shared" si="1"/>
        <v>CAllclearfellPruned</v>
      </c>
      <c r="C94" s="217" t="s">
        <v>162</v>
      </c>
      <c r="D94" s="218" t="s">
        <v>94</v>
      </c>
      <c r="E94" s="218" t="s">
        <v>89</v>
      </c>
      <c r="F94" s="217" t="s">
        <v>1</v>
      </c>
      <c r="G94" s="219">
        <v>167.6448</v>
      </c>
      <c r="H94" s="219">
        <v>177.1097</v>
      </c>
      <c r="I94" s="219">
        <v>186.6232</v>
      </c>
      <c r="J94" s="219">
        <v>194.03020000000001</v>
      </c>
      <c r="K94" s="219">
        <v>199.91839999999999</v>
      </c>
      <c r="L94" s="219">
        <v>208.48740000000001</v>
      </c>
      <c r="M94" s="219">
        <v>215.28829999999999</v>
      </c>
      <c r="N94" s="219">
        <v>219.45740000000001</v>
      </c>
      <c r="O94" s="219">
        <v>222.6163</v>
      </c>
      <c r="P94" s="219">
        <v>225.42619999999999</v>
      </c>
      <c r="Q94" s="219">
        <v>228.0615</v>
      </c>
      <c r="R94" s="219">
        <v>233.87370000000001</v>
      </c>
      <c r="S94" s="219">
        <v>236.47</v>
      </c>
      <c r="T94" s="219">
        <v>237.83459999999999</v>
      </c>
      <c r="U94" s="219">
        <v>239.4238</v>
      </c>
      <c r="V94" s="219">
        <v>241.90989999999999</v>
      </c>
      <c r="W94" s="219">
        <v>243.74080000000001</v>
      </c>
      <c r="X94" s="219">
        <v>246.54060000000001</v>
      </c>
      <c r="Y94" s="219">
        <v>247.0273</v>
      </c>
      <c r="Z94" s="219">
        <v>247.97900000000001</v>
      </c>
      <c r="AA94" s="220"/>
    </row>
    <row r="95" spans="2:27" x14ac:dyDescent="0.25">
      <c r="B95" s="216" t="str">
        <f t="shared" si="1"/>
        <v>CAllclearfellAO</v>
      </c>
      <c r="C95" s="217" t="s">
        <v>162</v>
      </c>
      <c r="D95" s="218" t="s">
        <v>94</v>
      </c>
      <c r="E95" s="218" t="s">
        <v>89</v>
      </c>
      <c r="F95" s="217" t="s">
        <v>52</v>
      </c>
      <c r="G95" s="219">
        <v>0</v>
      </c>
      <c r="H95" s="219">
        <v>2.7817769999999999</v>
      </c>
      <c r="I95" s="219">
        <v>5.6345599999999996</v>
      </c>
      <c r="J95" s="219">
        <v>8.4388500000000004</v>
      </c>
      <c r="K95" s="219">
        <v>13.92474</v>
      </c>
      <c r="L95" s="219">
        <v>11.44956</v>
      </c>
      <c r="M95" s="219">
        <v>14.411149999999999</v>
      </c>
      <c r="N95" s="219">
        <v>22.27036</v>
      </c>
      <c r="O95" s="219">
        <v>22.315449999999998</v>
      </c>
      <c r="P95" s="219">
        <v>20.239619999999999</v>
      </c>
      <c r="Q95" s="219">
        <v>22.778880000000001</v>
      </c>
      <c r="R95" s="219">
        <v>23.400469999999999</v>
      </c>
      <c r="S95" s="219">
        <v>27.96078</v>
      </c>
      <c r="T95" s="219">
        <v>30.463419999999999</v>
      </c>
      <c r="U95" s="219">
        <v>36.154530000000001</v>
      </c>
      <c r="V95" s="219">
        <v>40.64085</v>
      </c>
      <c r="W95" s="219">
        <v>40.734400000000001</v>
      </c>
      <c r="X95" s="219">
        <v>43.423020000000001</v>
      </c>
      <c r="Y95" s="219">
        <v>50.772010000000002</v>
      </c>
      <c r="Z95" s="219">
        <v>55.230449999999998</v>
      </c>
      <c r="AA95" s="220"/>
    </row>
    <row r="96" spans="2:27" x14ac:dyDescent="0.25">
      <c r="B96" s="216" t="str">
        <f t="shared" si="1"/>
        <v>CAllclearfellA</v>
      </c>
      <c r="C96" s="217" t="s">
        <v>162</v>
      </c>
      <c r="D96" s="218" t="s">
        <v>94</v>
      </c>
      <c r="E96" s="218" t="s">
        <v>89</v>
      </c>
      <c r="F96" s="217" t="s">
        <v>2</v>
      </c>
      <c r="G96" s="219">
        <v>144.51429999999999</v>
      </c>
      <c r="H96" s="219">
        <v>154.18389999999999</v>
      </c>
      <c r="I96" s="219">
        <v>162.96709999999999</v>
      </c>
      <c r="J96" s="219">
        <v>174.7414</v>
      </c>
      <c r="K96" s="219">
        <v>181.34450000000001</v>
      </c>
      <c r="L96" s="219">
        <v>196.0728</v>
      </c>
      <c r="M96" s="219">
        <v>200.06200000000001</v>
      </c>
      <c r="N96" s="219">
        <v>198.58619999999999</v>
      </c>
      <c r="O96" s="219">
        <v>208.4255</v>
      </c>
      <c r="P96" s="219">
        <v>228.10169999999999</v>
      </c>
      <c r="Q96" s="219">
        <v>237.61660000000001</v>
      </c>
      <c r="R96" s="219">
        <v>244.29730000000001</v>
      </c>
      <c r="S96" s="219">
        <v>247.70169999999999</v>
      </c>
      <c r="T96" s="219">
        <v>256.92869999999999</v>
      </c>
      <c r="U96" s="219">
        <v>257.74459999999999</v>
      </c>
      <c r="V96" s="219">
        <v>265.59620000000001</v>
      </c>
      <c r="W96" s="219">
        <v>274.4941</v>
      </c>
      <c r="X96" s="219">
        <v>275.24990000000003</v>
      </c>
      <c r="Y96" s="219">
        <v>277.94170000000003</v>
      </c>
      <c r="Z96" s="219">
        <v>281.5677</v>
      </c>
      <c r="AA96" s="220"/>
    </row>
    <row r="97" spans="2:27" x14ac:dyDescent="0.25">
      <c r="B97" s="216" t="str">
        <f t="shared" si="1"/>
        <v>CAllclearfellK</v>
      </c>
      <c r="C97" s="217" t="s">
        <v>162</v>
      </c>
      <c r="D97" s="218" t="s">
        <v>94</v>
      </c>
      <c r="E97" s="218" t="s">
        <v>89</v>
      </c>
      <c r="F97" s="217" t="s">
        <v>3</v>
      </c>
      <c r="G97" s="219">
        <v>79.289180000000002</v>
      </c>
      <c r="H97" s="219">
        <v>79.360690000000005</v>
      </c>
      <c r="I97" s="219">
        <v>76.886679999999998</v>
      </c>
      <c r="J97" s="219">
        <v>83.116429999999994</v>
      </c>
      <c r="K97" s="219">
        <v>76.06859</v>
      </c>
      <c r="L97" s="219">
        <v>74.742919999999998</v>
      </c>
      <c r="M97" s="219">
        <v>78.571079999999995</v>
      </c>
      <c r="N97" s="219">
        <v>80.488619999999997</v>
      </c>
      <c r="O97" s="219">
        <v>77.635409999999993</v>
      </c>
      <c r="P97" s="219">
        <v>79.885140000000007</v>
      </c>
      <c r="Q97" s="219">
        <v>81.195629999999994</v>
      </c>
      <c r="R97" s="219">
        <v>76.854969999999994</v>
      </c>
      <c r="S97" s="219">
        <v>79.490690000000001</v>
      </c>
      <c r="T97" s="219">
        <v>78.737859999999998</v>
      </c>
      <c r="U97" s="219">
        <v>79.2774</v>
      </c>
      <c r="V97" s="219">
        <v>84.482240000000004</v>
      </c>
      <c r="W97" s="219">
        <v>79.203680000000006</v>
      </c>
      <c r="X97" s="219">
        <v>81.888249999999999</v>
      </c>
      <c r="Y97" s="219">
        <v>84.934359999999998</v>
      </c>
      <c r="Z97" s="219">
        <v>86.034719999999993</v>
      </c>
      <c r="AA97" s="220"/>
    </row>
    <row r="98" spans="2:27" x14ac:dyDescent="0.25">
      <c r="B98" s="216" t="str">
        <f t="shared" si="1"/>
        <v>CAllclearfellKI</v>
      </c>
      <c r="C98" s="217" t="s">
        <v>162</v>
      </c>
      <c r="D98" s="218" t="s">
        <v>94</v>
      </c>
      <c r="E98" s="218" t="s">
        <v>89</v>
      </c>
      <c r="F98" s="217" t="s">
        <v>4</v>
      </c>
      <c r="G98" s="219">
        <v>155.774</v>
      </c>
      <c r="H98" s="219">
        <v>162.86189999999999</v>
      </c>
      <c r="I98" s="219">
        <v>173.2527</v>
      </c>
      <c r="J98" s="219">
        <v>177.8134</v>
      </c>
      <c r="K98" s="219">
        <v>189.10220000000001</v>
      </c>
      <c r="L98" s="219">
        <v>193.6876</v>
      </c>
      <c r="M98" s="219">
        <v>199.74889999999999</v>
      </c>
      <c r="N98" s="219">
        <v>209.9032</v>
      </c>
      <c r="O98" s="219">
        <v>226.9819</v>
      </c>
      <c r="P98" s="219">
        <v>226.1352</v>
      </c>
      <c r="Q98" s="219">
        <v>231.2587</v>
      </c>
      <c r="R98" s="219">
        <v>238.26390000000001</v>
      </c>
      <c r="S98" s="219">
        <v>244.84049999999999</v>
      </c>
      <c r="T98" s="219">
        <v>247.834</v>
      </c>
      <c r="U98" s="219">
        <v>255.91470000000001</v>
      </c>
      <c r="V98" s="219">
        <v>251.54480000000001</v>
      </c>
      <c r="W98" s="219">
        <v>258.74029999999999</v>
      </c>
      <c r="X98" s="219">
        <v>264.68650000000002</v>
      </c>
      <c r="Y98" s="219">
        <v>263.26859999999999</v>
      </c>
      <c r="Z98" s="219">
        <v>264.44479999999999</v>
      </c>
      <c r="AA98" s="220"/>
    </row>
    <row r="99" spans="2:27" x14ac:dyDescent="0.25">
      <c r="B99" s="216" t="str">
        <f t="shared" si="1"/>
        <v>CAllclearfellKIS</v>
      </c>
      <c r="C99" s="217" t="s">
        <v>162</v>
      </c>
      <c r="D99" s="218" t="s">
        <v>94</v>
      </c>
      <c r="E99" s="218" t="s">
        <v>89</v>
      </c>
      <c r="F99" s="217" t="s">
        <v>5</v>
      </c>
      <c r="G99" s="219">
        <v>38.29589</v>
      </c>
      <c r="H99" s="219">
        <v>39.79766</v>
      </c>
      <c r="I99" s="219">
        <v>39.546390000000002</v>
      </c>
      <c r="J99" s="219">
        <v>31.523040000000002</v>
      </c>
      <c r="K99" s="219">
        <v>35.931559999999998</v>
      </c>
      <c r="L99" s="219">
        <v>36.365650000000002</v>
      </c>
      <c r="M99" s="219">
        <v>36.244340000000001</v>
      </c>
      <c r="N99" s="219">
        <v>36.750399999999999</v>
      </c>
      <c r="O99" s="219">
        <v>29.396100000000001</v>
      </c>
      <c r="P99" s="219">
        <v>29.002490000000002</v>
      </c>
      <c r="Q99" s="219">
        <v>26.993590000000001</v>
      </c>
      <c r="R99" s="219">
        <v>29.431909999999998</v>
      </c>
      <c r="S99" s="219">
        <v>27.49606</v>
      </c>
      <c r="T99" s="219">
        <v>27.053329999999999</v>
      </c>
      <c r="U99" s="219">
        <v>24.888100000000001</v>
      </c>
      <c r="V99" s="219">
        <v>22.632020000000001</v>
      </c>
      <c r="W99" s="219">
        <v>23.327120000000001</v>
      </c>
      <c r="X99" s="219">
        <v>21.563379999999999</v>
      </c>
      <c r="Y99" s="219">
        <v>20.083210000000001</v>
      </c>
      <c r="Z99" s="219">
        <v>19.020900000000001</v>
      </c>
      <c r="AA99" s="220"/>
    </row>
    <row r="100" spans="2:27" x14ac:dyDescent="0.25">
      <c r="B100" s="216" t="str">
        <f t="shared" si="1"/>
        <v>CAllclearfellPulp</v>
      </c>
      <c r="C100" s="217" t="s">
        <v>162</v>
      </c>
      <c r="D100" s="218" t="s">
        <v>94</v>
      </c>
      <c r="E100" s="218" t="s">
        <v>89</v>
      </c>
      <c r="F100" s="217" t="s">
        <v>51</v>
      </c>
      <c r="G100" s="219">
        <v>16.28875</v>
      </c>
      <c r="H100" s="219">
        <v>14.72498</v>
      </c>
      <c r="I100" s="219">
        <v>12.66023</v>
      </c>
      <c r="J100" s="219">
        <v>15.54256</v>
      </c>
      <c r="K100" s="219">
        <v>15.9772</v>
      </c>
      <c r="L100" s="219">
        <v>16.551390000000001</v>
      </c>
      <c r="M100" s="219">
        <v>15.52825</v>
      </c>
      <c r="N100" s="219">
        <v>15.59524</v>
      </c>
      <c r="O100" s="219">
        <v>17.207439999999998</v>
      </c>
      <c r="P100" s="219">
        <v>15.56377</v>
      </c>
      <c r="Q100" s="219">
        <v>15.208640000000001</v>
      </c>
      <c r="R100" s="219">
        <v>15.424519999999999</v>
      </c>
      <c r="S100" s="219">
        <v>14.70574</v>
      </c>
      <c r="T100" s="219">
        <v>15.89012</v>
      </c>
      <c r="U100" s="219">
        <v>15.78375</v>
      </c>
      <c r="V100" s="219">
        <v>14.82403</v>
      </c>
      <c r="W100" s="219">
        <v>15.207549999999999</v>
      </c>
      <c r="X100" s="219">
        <v>14.608180000000001</v>
      </c>
      <c r="Y100" s="219">
        <v>14.36439</v>
      </c>
      <c r="Z100" s="219">
        <v>14.554180000000001</v>
      </c>
      <c r="AA100" s="220"/>
    </row>
    <row r="101" spans="2:27" x14ac:dyDescent="0.25">
      <c r="B101" s="216" t="str">
        <f t="shared" si="1"/>
        <v>CAllclearfellTRV</v>
      </c>
      <c r="C101" s="217" t="s">
        <v>162</v>
      </c>
      <c r="D101" s="218" t="s">
        <v>94</v>
      </c>
      <c r="E101" s="218" t="s">
        <v>89</v>
      </c>
      <c r="F101" s="217" t="s">
        <v>74</v>
      </c>
      <c r="G101" s="219">
        <v>601.80691999999999</v>
      </c>
      <c r="H101" s="219">
        <v>630.82060699999988</v>
      </c>
      <c r="I101" s="219">
        <v>657.57085999999993</v>
      </c>
      <c r="J101" s="219">
        <v>685.20588000000009</v>
      </c>
      <c r="K101" s="219">
        <v>712.26719000000003</v>
      </c>
      <c r="L101" s="219">
        <v>737.35731999999996</v>
      </c>
      <c r="M101" s="219">
        <v>759.85401999999988</v>
      </c>
      <c r="N101" s="219">
        <v>783.05142000000001</v>
      </c>
      <c r="O101" s="219">
        <v>804.57810000000006</v>
      </c>
      <c r="P101" s="219">
        <v>824.35411999999985</v>
      </c>
      <c r="Q101" s="219">
        <v>843.11353999999994</v>
      </c>
      <c r="R101" s="219">
        <v>861.54677000000015</v>
      </c>
      <c r="S101" s="219">
        <v>878.66547000000003</v>
      </c>
      <c r="T101" s="219">
        <v>894.74202999999989</v>
      </c>
      <c r="U101" s="219">
        <v>909.18688000000009</v>
      </c>
      <c r="V101" s="219">
        <v>921.63004000000012</v>
      </c>
      <c r="W101" s="219">
        <v>935.44794999999999</v>
      </c>
      <c r="X101" s="219">
        <v>947.95983000000001</v>
      </c>
      <c r="Y101" s="219">
        <v>958.39156999999989</v>
      </c>
      <c r="Z101" s="219">
        <v>968.83174999999994</v>
      </c>
      <c r="AA101" s="220"/>
    </row>
    <row r="102" spans="2:27" x14ac:dyDescent="0.25">
      <c r="B102" s="216" t="str">
        <f t="shared" si="1"/>
        <v>CAllclearfellStem/ha</v>
      </c>
      <c r="C102" s="217" t="s">
        <v>162</v>
      </c>
      <c r="D102" s="218" t="s">
        <v>94</v>
      </c>
      <c r="E102" s="218" t="s">
        <v>89</v>
      </c>
      <c r="F102" s="217" t="s">
        <v>85</v>
      </c>
      <c r="G102" s="219">
        <v>386.37985229492199</v>
      </c>
      <c r="H102" s="219">
        <v>384.17996215820301</v>
      </c>
      <c r="I102" s="219">
        <v>381.95452880859398</v>
      </c>
      <c r="J102" s="219">
        <v>379.70669555664102</v>
      </c>
      <c r="K102" s="219">
        <v>377.43948364257801</v>
      </c>
      <c r="L102" s="219">
        <v>375.15570068359398</v>
      </c>
      <c r="M102" s="219">
        <v>372.85803222656301</v>
      </c>
      <c r="N102" s="219">
        <v>370.54885864257801</v>
      </c>
      <c r="O102" s="219">
        <v>368.23052978515602</v>
      </c>
      <c r="P102" s="219">
        <v>365.90518188476602</v>
      </c>
      <c r="Q102" s="219">
        <v>363.57479858398398</v>
      </c>
      <c r="R102" s="219">
        <v>361.24127197265602</v>
      </c>
      <c r="S102" s="219">
        <v>358.90628051757801</v>
      </c>
      <c r="T102" s="219">
        <v>356.57150268554699</v>
      </c>
      <c r="U102" s="219">
        <v>354.23840332031301</v>
      </c>
      <c r="V102" s="219">
        <v>351.90838623046898</v>
      </c>
      <c r="W102" s="219">
        <v>349.58273315429699</v>
      </c>
      <c r="X102" s="219">
        <v>347.26260375976602</v>
      </c>
      <c r="Y102" s="219">
        <v>344.94915771484398</v>
      </c>
      <c r="Z102" s="219">
        <v>342.64337158203102</v>
      </c>
      <c r="AA102" s="220"/>
    </row>
    <row r="103" spans="2:27" x14ac:dyDescent="0.25">
      <c r="B103" s="216" t="str">
        <f t="shared" si="1"/>
        <v/>
      </c>
    </row>
    <row r="104" spans="2:27" x14ac:dyDescent="0.25">
      <c r="B104" s="216" t="str">
        <f t="shared" si="1"/>
        <v/>
      </c>
    </row>
    <row r="105" spans="2:27" x14ac:dyDescent="0.25">
      <c r="B105" s="216" t="str">
        <f t="shared" si="1"/>
        <v/>
      </c>
    </row>
    <row r="106" spans="2:27" x14ac:dyDescent="0.25">
      <c r="B106" s="216" t="str">
        <f t="shared" si="1"/>
        <v/>
      </c>
    </row>
    <row r="107" spans="2:27" x14ac:dyDescent="0.25">
      <c r="B107" s="216" t="str">
        <f t="shared" si="1"/>
        <v/>
      </c>
    </row>
    <row r="108" spans="2:27" x14ac:dyDescent="0.25">
      <c r="B108" s="216" t="str">
        <f t="shared" si="1"/>
        <v/>
      </c>
    </row>
    <row r="109" spans="2:27" x14ac:dyDescent="0.25">
      <c r="B109" s="216" t="str">
        <f t="shared" si="1"/>
        <v/>
      </c>
    </row>
    <row r="110" spans="2:27" x14ac:dyDescent="0.25">
      <c r="B110" s="216" t="str">
        <f t="shared" si="1"/>
        <v/>
      </c>
    </row>
    <row r="111" spans="2:27" x14ac:dyDescent="0.25">
      <c r="B111" s="216" t="str">
        <f t="shared" si="1"/>
        <v/>
      </c>
    </row>
    <row r="112" spans="2:27" x14ac:dyDescent="0.25">
      <c r="B112" s="216" t="str">
        <f t="shared" si="1"/>
        <v/>
      </c>
      <c r="D112" s="99"/>
      <c r="E112" s="99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6"/>
    </row>
    <row r="113" spans="2:27" x14ac:dyDescent="0.25">
      <c r="B113" s="216" t="str">
        <f t="shared" si="1"/>
        <v/>
      </c>
      <c r="D113" s="99"/>
      <c r="E113" s="99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6"/>
    </row>
    <row r="114" spans="2:27" x14ac:dyDescent="0.25">
      <c r="B114" s="216" t="str">
        <f t="shared" si="1"/>
        <v/>
      </c>
      <c r="D114" s="99"/>
      <c r="E114" s="99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  <c r="AA114" s="226"/>
    </row>
    <row r="115" spans="2:27" x14ac:dyDescent="0.25">
      <c r="B115" s="216" t="str">
        <f t="shared" si="1"/>
        <v/>
      </c>
      <c r="D115" s="99"/>
      <c r="E115" s="99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6"/>
    </row>
    <row r="116" spans="2:27" x14ac:dyDescent="0.25">
      <c r="B116" s="216" t="str">
        <f t="shared" si="1"/>
        <v/>
      </c>
      <c r="D116" s="99"/>
      <c r="E116" s="99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6"/>
    </row>
    <row r="117" spans="2:27" x14ac:dyDescent="0.25">
      <c r="B117" s="216" t="str">
        <f t="shared" si="1"/>
        <v/>
      </c>
      <c r="D117" s="99"/>
      <c r="E117" s="99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6"/>
    </row>
    <row r="118" spans="2:27" x14ac:dyDescent="0.25">
      <c r="B118" s="216" t="str">
        <f t="shared" si="1"/>
        <v/>
      </c>
      <c r="D118" s="99"/>
      <c r="E118" s="99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  <c r="AA118" s="226"/>
    </row>
    <row r="119" spans="2:27" x14ac:dyDescent="0.25">
      <c r="B119" s="216" t="str">
        <f t="shared" si="1"/>
        <v/>
      </c>
      <c r="D119" s="99"/>
      <c r="E119" s="99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  <c r="AA119" s="226"/>
    </row>
    <row r="120" spans="2:27" x14ac:dyDescent="0.25">
      <c r="B120" s="216" t="str">
        <f t="shared" si="1"/>
        <v/>
      </c>
      <c r="D120" s="99"/>
      <c r="E120" s="99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6"/>
    </row>
    <row r="121" spans="2:27" x14ac:dyDescent="0.25">
      <c r="B121" s="216" t="str">
        <f t="shared" si="1"/>
        <v/>
      </c>
      <c r="D121" s="99"/>
      <c r="E121" s="99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6"/>
    </row>
    <row r="122" spans="2:27" x14ac:dyDescent="0.25">
      <c r="B122" s="216" t="str">
        <f t="shared" si="1"/>
        <v/>
      </c>
      <c r="D122" s="99"/>
      <c r="E122" s="99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6"/>
    </row>
    <row r="123" spans="2:27" x14ac:dyDescent="0.25">
      <c r="B123" s="216" t="str">
        <f t="shared" si="1"/>
        <v/>
      </c>
      <c r="D123" s="99"/>
      <c r="E123" s="99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6"/>
    </row>
    <row r="124" spans="2:27" x14ac:dyDescent="0.25">
      <c r="B124" s="216" t="str">
        <f t="shared" si="1"/>
        <v/>
      </c>
      <c r="D124" s="99"/>
      <c r="E124" s="99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6"/>
    </row>
    <row r="125" spans="2:27" x14ac:dyDescent="0.25">
      <c r="B125" s="216" t="str">
        <f t="shared" si="1"/>
        <v/>
      </c>
      <c r="D125" s="99"/>
      <c r="E125" s="99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6"/>
    </row>
    <row r="126" spans="2:27" x14ac:dyDescent="0.25">
      <c r="B126" s="216" t="str">
        <f t="shared" si="1"/>
        <v/>
      </c>
      <c r="D126" s="99"/>
      <c r="E126" s="99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6"/>
    </row>
    <row r="127" spans="2:27" x14ac:dyDescent="0.25">
      <c r="B127" s="216" t="str">
        <f t="shared" si="1"/>
        <v/>
      </c>
      <c r="D127" s="99"/>
      <c r="E127" s="99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6"/>
    </row>
    <row r="128" spans="2:27" x14ac:dyDescent="0.25">
      <c r="B128" s="216" t="str">
        <f t="shared" si="1"/>
        <v/>
      </c>
      <c r="D128" s="99"/>
      <c r="E128" s="99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6"/>
    </row>
    <row r="129" spans="2:27" x14ac:dyDescent="0.25">
      <c r="B129" s="216" t="str">
        <f t="shared" si="1"/>
        <v/>
      </c>
      <c r="D129" s="99"/>
      <c r="E129" s="99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6"/>
    </row>
    <row r="130" spans="2:27" x14ac:dyDescent="0.25">
      <c r="B130" s="216" t="str">
        <f t="shared" si="1"/>
        <v/>
      </c>
      <c r="D130" s="99"/>
      <c r="E130" s="99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  <c r="AA130" s="226"/>
    </row>
    <row r="131" spans="2:27" x14ac:dyDescent="0.25">
      <c r="B131" s="216" t="str">
        <f t="shared" si="1"/>
        <v/>
      </c>
      <c r="D131" s="99"/>
      <c r="E131" s="99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6"/>
    </row>
    <row r="132" spans="2:27" x14ac:dyDescent="0.25">
      <c r="B132" s="216" t="str">
        <f t="shared" si="1"/>
        <v/>
      </c>
      <c r="D132" s="99"/>
      <c r="E132" s="99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6"/>
    </row>
    <row r="133" spans="2:27" x14ac:dyDescent="0.25">
      <c r="B133" s="216" t="str">
        <f t="shared" si="1"/>
        <v/>
      </c>
      <c r="D133" s="99"/>
      <c r="E133" s="99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6"/>
    </row>
    <row r="134" spans="2:27" x14ac:dyDescent="0.25">
      <c r="B134" s="216" t="str">
        <f t="shared" si="1"/>
        <v/>
      </c>
      <c r="D134" s="99"/>
      <c r="E134" s="99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6"/>
    </row>
    <row r="135" spans="2:27" x14ac:dyDescent="0.25">
      <c r="B135" s="216" t="str">
        <f t="shared" si="1"/>
        <v/>
      </c>
      <c r="D135" s="99"/>
      <c r="E135" s="99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6"/>
    </row>
    <row r="136" spans="2:27" x14ac:dyDescent="0.25">
      <c r="B136" s="216" t="str">
        <f t="shared" si="1"/>
        <v/>
      </c>
      <c r="D136" s="99"/>
      <c r="E136" s="99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6"/>
    </row>
    <row r="137" spans="2:27" x14ac:dyDescent="0.25">
      <c r="B137" s="216" t="str">
        <f t="shared" si="1"/>
        <v/>
      </c>
      <c r="D137" s="99"/>
      <c r="E137" s="99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6"/>
    </row>
    <row r="138" spans="2:27" x14ac:dyDescent="0.25">
      <c r="B138" s="216" t="str">
        <f t="shared" si="1"/>
        <v/>
      </c>
      <c r="D138" s="99"/>
      <c r="E138" s="99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6"/>
    </row>
    <row r="139" spans="2:27" x14ac:dyDescent="0.25">
      <c r="B139" s="216" t="str">
        <f t="shared" si="1"/>
        <v/>
      </c>
      <c r="D139" s="99"/>
      <c r="E139" s="99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A139" s="226"/>
    </row>
    <row r="140" spans="2:27" x14ac:dyDescent="0.25">
      <c r="B140" s="216" t="str">
        <f t="shared" si="1"/>
        <v/>
      </c>
      <c r="D140" s="99"/>
      <c r="E140" s="99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  <c r="AA140" s="226"/>
    </row>
    <row r="141" spans="2:27" x14ac:dyDescent="0.25">
      <c r="B141" s="216" t="str">
        <f t="shared" si="1"/>
        <v/>
      </c>
      <c r="D141" s="99"/>
      <c r="E141" s="99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6"/>
    </row>
    <row r="142" spans="2:27" x14ac:dyDescent="0.25">
      <c r="B142" s="216" t="str">
        <f t="shared" si="1"/>
        <v/>
      </c>
      <c r="D142" s="99"/>
      <c r="E142" s="99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6"/>
    </row>
    <row r="143" spans="2:27" x14ac:dyDescent="0.25">
      <c r="B143" s="216" t="str">
        <f t="shared" si="1"/>
        <v/>
      </c>
      <c r="D143" s="99"/>
      <c r="E143" s="99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6"/>
    </row>
    <row r="144" spans="2:27" x14ac:dyDescent="0.25">
      <c r="B144" s="216" t="str">
        <f t="shared" si="1"/>
        <v/>
      </c>
      <c r="D144" s="99"/>
      <c r="E144" s="99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6"/>
    </row>
    <row r="145" spans="2:27" x14ac:dyDescent="0.25">
      <c r="B145" s="216" t="str">
        <f t="shared" si="1"/>
        <v/>
      </c>
      <c r="D145" s="99"/>
      <c r="E145" s="99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6"/>
    </row>
    <row r="146" spans="2:27" x14ac:dyDescent="0.25">
      <c r="B146" s="216" t="str">
        <f t="shared" si="1"/>
        <v/>
      </c>
      <c r="D146" s="99"/>
      <c r="E146" s="99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6"/>
    </row>
    <row r="147" spans="2:27" x14ac:dyDescent="0.25">
      <c r="B147" s="216" t="str">
        <f t="shared" si="1"/>
        <v/>
      </c>
      <c r="D147" s="99"/>
      <c r="E147" s="99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6"/>
    </row>
    <row r="148" spans="2:27" x14ac:dyDescent="0.25">
      <c r="B148" s="216" t="str">
        <f t="shared" si="1"/>
        <v/>
      </c>
      <c r="D148" s="99"/>
      <c r="E148" s="99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  <c r="AA148" s="226"/>
    </row>
    <row r="149" spans="2:27" x14ac:dyDescent="0.25">
      <c r="B149" s="216" t="str">
        <f t="shared" si="1"/>
        <v/>
      </c>
      <c r="D149" s="99"/>
      <c r="E149" s="99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6"/>
    </row>
    <row r="150" spans="2:27" x14ac:dyDescent="0.25">
      <c r="B150" s="216" t="str">
        <f t="shared" si="1"/>
        <v/>
      </c>
      <c r="D150" s="99"/>
      <c r="E150" s="99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  <c r="AA150" s="226"/>
    </row>
    <row r="151" spans="2:27" x14ac:dyDescent="0.25">
      <c r="B151" s="216" t="str">
        <f t="shared" ref="B151:B174" si="2">C151&amp;D151&amp;E151&amp;F151</f>
        <v/>
      </c>
      <c r="D151" s="99"/>
      <c r="E151" s="99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25"/>
      <c r="Z151" s="225"/>
      <c r="AA151" s="226"/>
    </row>
    <row r="152" spans="2:27" x14ac:dyDescent="0.25">
      <c r="B152" s="216" t="str">
        <f t="shared" si="2"/>
        <v/>
      </c>
      <c r="D152" s="99"/>
      <c r="E152" s="99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  <c r="AA152" s="226"/>
    </row>
    <row r="153" spans="2:27" x14ac:dyDescent="0.25">
      <c r="B153" s="216" t="str">
        <f t="shared" si="2"/>
        <v/>
      </c>
      <c r="D153" s="99"/>
      <c r="E153" s="99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6"/>
    </row>
    <row r="154" spans="2:27" x14ac:dyDescent="0.25">
      <c r="B154" s="216" t="str">
        <f t="shared" si="2"/>
        <v/>
      </c>
      <c r="D154" s="99"/>
      <c r="E154" s="99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6"/>
    </row>
    <row r="155" spans="2:27" x14ac:dyDescent="0.25">
      <c r="B155" s="216" t="str">
        <f t="shared" si="2"/>
        <v/>
      </c>
      <c r="D155" s="99"/>
      <c r="E155" s="99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  <c r="AA155" s="226"/>
    </row>
    <row r="156" spans="2:27" x14ac:dyDescent="0.25">
      <c r="B156" s="216" t="str">
        <f t="shared" si="2"/>
        <v/>
      </c>
      <c r="D156" s="99"/>
      <c r="E156" s="99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  <c r="AA156" s="226"/>
    </row>
    <row r="157" spans="2:27" x14ac:dyDescent="0.25">
      <c r="B157" s="216" t="str">
        <f t="shared" si="2"/>
        <v/>
      </c>
      <c r="D157" s="99"/>
      <c r="E157" s="99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  <c r="AA157" s="226"/>
    </row>
    <row r="158" spans="2:27" x14ac:dyDescent="0.25">
      <c r="B158" s="216" t="str">
        <f t="shared" si="2"/>
        <v/>
      </c>
      <c r="D158" s="99"/>
      <c r="E158" s="99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  <c r="AA158" s="226"/>
    </row>
    <row r="159" spans="2:27" x14ac:dyDescent="0.25">
      <c r="B159" s="216" t="str">
        <f t="shared" si="2"/>
        <v/>
      </c>
      <c r="D159" s="99"/>
      <c r="E159" s="99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6"/>
    </row>
    <row r="160" spans="2:27" x14ac:dyDescent="0.25">
      <c r="B160" s="216" t="str">
        <f t="shared" si="2"/>
        <v/>
      </c>
      <c r="D160" s="99"/>
      <c r="E160" s="99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  <c r="AA160" s="226"/>
    </row>
    <row r="161" spans="2:27" x14ac:dyDescent="0.25">
      <c r="B161" s="216" t="str">
        <f t="shared" si="2"/>
        <v/>
      </c>
      <c r="D161" s="99"/>
      <c r="E161" s="99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6"/>
    </row>
    <row r="162" spans="2:27" x14ac:dyDescent="0.25">
      <c r="B162" s="216" t="str">
        <f t="shared" si="2"/>
        <v/>
      </c>
      <c r="D162" s="99"/>
      <c r="E162" s="99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6"/>
    </row>
    <row r="163" spans="2:27" x14ac:dyDescent="0.25">
      <c r="B163" s="216" t="str">
        <f t="shared" si="2"/>
        <v/>
      </c>
      <c r="D163" s="99"/>
      <c r="E163" s="99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  <c r="AA163" s="226"/>
    </row>
    <row r="164" spans="2:27" x14ac:dyDescent="0.25">
      <c r="B164" s="216" t="str">
        <f t="shared" si="2"/>
        <v/>
      </c>
      <c r="D164" s="99"/>
      <c r="E164" s="99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  <c r="AA164" s="226"/>
    </row>
    <row r="165" spans="2:27" x14ac:dyDescent="0.25">
      <c r="B165" s="216" t="str">
        <f t="shared" si="2"/>
        <v/>
      </c>
      <c r="D165" s="99"/>
      <c r="E165" s="99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6"/>
    </row>
    <row r="166" spans="2:27" x14ac:dyDescent="0.25">
      <c r="B166" s="216" t="str">
        <f t="shared" si="2"/>
        <v/>
      </c>
      <c r="D166" s="99"/>
      <c r="E166" s="99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  <c r="AA166" s="226"/>
    </row>
    <row r="167" spans="2:27" x14ac:dyDescent="0.25">
      <c r="B167" s="216" t="str">
        <f t="shared" si="2"/>
        <v/>
      </c>
      <c r="D167" s="99"/>
      <c r="E167" s="99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  <c r="Y167" s="225"/>
      <c r="Z167" s="225"/>
      <c r="AA167" s="226"/>
    </row>
    <row r="168" spans="2:27" x14ac:dyDescent="0.25">
      <c r="B168" s="216" t="str">
        <f t="shared" si="2"/>
        <v/>
      </c>
      <c r="D168" s="99"/>
      <c r="E168" s="99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  <c r="W168" s="225"/>
      <c r="X168" s="225"/>
      <c r="Y168" s="225"/>
      <c r="Z168" s="225"/>
      <c r="AA168" s="226"/>
    </row>
    <row r="169" spans="2:27" x14ac:dyDescent="0.25">
      <c r="B169" s="216" t="str">
        <f t="shared" si="2"/>
        <v/>
      </c>
      <c r="D169" s="99"/>
      <c r="E169" s="99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  <c r="AA169" s="226"/>
    </row>
    <row r="170" spans="2:27" x14ac:dyDescent="0.25">
      <c r="B170" s="216" t="str">
        <f t="shared" si="2"/>
        <v/>
      </c>
      <c r="D170" s="99"/>
      <c r="E170" s="99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25"/>
      <c r="Z170" s="225"/>
      <c r="AA170" s="226"/>
    </row>
    <row r="171" spans="2:27" x14ac:dyDescent="0.25">
      <c r="B171" s="216" t="str">
        <f t="shared" si="2"/>
        <v/>
      </c>
      <c r="D171" s="99"/>
      <c r="E171" s="99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5"/>
      <c r="Z171" s="225"/>
      <c r="AA171" s="226"/>
    </row>
    <row r="172" spans="2:27" x14ac:dyDescent="0.25">
      <c r="B172" s="216" t="str">
        <f t="shared" si="2"/>
        <v/>
      </c>
      <c r="D172" s="99"/>
      <c r="E172" s="99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  <c r="AA172" s="226"/>
    </row>
    <row r="173" spans="2:27" x14ac:dyDescent="0.25">
      <c r="B173" s="216" t="str">
        <f t="shared" si="2"/>
        <v/>
      </c>
      <c r="D173" s="99"/>
      <c r="E173" s="99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6"/>
    </row>
    <row r="174" spans="2:27" x14ac:dyDescent="0.25">
      <c r="B174" s="216" t="str">
        <f t="shared" si="2"/>
        <v/>
      </c>
      <c r="D174" s="99"/>
      <c r="E174" s="99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  <c r="AA174" s="226"/>
    </row>
  </sheetData>
  <sheetProtection algorithmName="SHA-512" hashValue="6Xph+lnGthkpZA4g93/tTrF2gJdS1SLYtHu9QwcHU3KdmjxCAOpoFlZ8n0nEInXR3JwZrjil6IlUTtZOCY1T0A==" saltValue="SGmrhmZ2YAtpK8CwRbrDcQ==" spinCount="100000" sheet="1" objects="1" scenarios="1"/>
  <mergeCells count="2">
    <mergeCell ref="J3:M3"/>
    <mergeCell ref="N3:S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opLeftCell="A2" zoomScale="89" zoomScaleNormal="89" workbookViewId="0">
      <selection activeCell="I32" sqref="I32"/>
    </sheetView>
  </sheetViews>
  <sheetFormatPr defaultRowHeight="15" x14ac:dyDescent="0.25"/>
  <cols>
    <col min="1" max="1" width="2.5703125" customWidth="1"/>
    <col min="2" max="2" width="21.7109375" customWidth="1"/>
    <col min="3" max="3" width="10.140625" customWidth="1"/>
    <col min="4" max="4" width="8" customWidth="1"/>
    <col min="5" max="9" width="10.42578125" customWidth="1"/>
    <col min="10" max="10" width="11.7109375" customWidth="1"/>
    <col min="11" max="22" width="10.42578125" customWidth="1"/>
    <col min="23" max="23" width="11" customWidth="1"/>
    <col min="24" max="24" width="10.85546875" customWidth="1"/>
    <col min="25" max="25" width="10" customWidth="1"/>
    <col min="27" max="27" width="10" customWidth="1"/>
    <col min="28" max="28" width="0" hidden="1" customWidth="1"/>
  </cols>
  <sheetData>
    <row r="1" spans="1:28" hidden="1" x14ac:dyDescent="0.25">
      <c r="E1">
        <v>6</v>
      </c>
      <c r="F1">
        <v>7</v>
      </c>
      <c r="G1">
        <v>8</v>
      </c>
      <c r="H1">
        <v>9</v>
      </c>
      <c r="I1">
        <v>10</v>
      </c>
      <c r="J1">
        <v>11</v>
      </c>
      <c r="K1">
        <v>12</v>
      </c>
      <c r="L1">
        <v>13</v>
      </c>
      <c r="M1">
        <v>14</v>
      </c>
      <c r="N1">
        <v>15</v>
      </c>
      <c r="O1">
        <v>16</v>
      </c>
      <c r="P1">
        <v>17</v>
      </c>
      <c r="Q1">
        <v>18</v>
      </c>
      <c r="R1">
        <v>19</v>
      </c>
      <c r="S1">
        <v>20</v>
      </c>
      <c r="T1">
        <v>21</v>
      </c>
      <c r="U1">
        <v>22</v>
      </c>
      <c r="V1">
        <v>23</v>
      </c>
      <c r="W1">
        <v>24</v>
      </c>
      <c r="X1">
        <v>25</v>
      </c>
      <c r="Y1">
        <v>26</v>
      </c>
    </row>
    <row r="2" spans="1:28" ht="14.25" customHeight="1" thickBot="1" x14ac:dyDescent="0.3">
      <c r="A2" s="1" t="s">
        <v>0</v>
      </c>
      <c r="B2" s="2"/>
      <c r="C2" s="3"/>
      <c r="D2" s="4"/>
      <c r="E2" s="2"/>
      <c r="F2" s="3"/>
      <c r="G2" s="5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8" x14ac:dyDescent="0.25">
      <c r="A3" s="6"/>
      <c r="B3" s="7"/>
      <c r="C3" s="8"/>
      <c r="D3" s="8" t="s">
        <v>158</v>
      </c>
      <c r="E3" s="6">
        <v>1</v>
      </c>
      <c r="F3" s="6">
        <f>E3+1</f>
        <v>2</v>
      </c>
      <c r="G3" s="6">
        <f t="shared" ref="G3:X4" si="0">F3+1</f>
        <v>3</v>
      </c>
      <c r="H3" s="6">
        <f t="shared" si="0"/>
        <v>4</v>
      </c>
      <c r="I3" s="6">
        <f t="shared" si="0"/>
        <v>5</v>
      </c>
      <c r="J3" s="6">
        <f t="shared" si="0"/>
        <v>6</v>
      </c>
      <c r="K3" s="6">
        <f t="shared" si="0"/>
        <v>7</v>
      </c>
      <c r="L3" s="6">
        <f t="shared" si="0"/>
        <v>8</v>
      </c>
      <c r="M3" s="6">
        <f t="shared" si="0"/>
        <v>9</v>
      </c>
      <c r="N3" s="6">
        <f t="shared" si="0"/>
        <v>10</v>
      </c>
      <c r="O3" s="6">
        <f t="shared" si="0"/>
        <v>11</v>
      </c>
      <c r="P3" s="6">
        <f t="shared" si="0"/>
        <v>12</v>
      </c>
      <c r="Q3" s="6">
        <f t="shared" si="0"/>
        <v>13</v>
      </c>
      <c r="R3" s="6">
        <f t="shared" si="0"/>
        <v>14</v>
      </c>
      <c r="S3" s="6">
        <f t="shared" si="0"/>
        <v>15</v>
      </c>
      <c r="T3" s="6">
        <f t="shared" si="0"/>
        <v>16</v>
      </c>
      <c r="U3" s="6">
        <f t="shared" si="0"/>
        <v>17</v>
      </c>
      <c r="V3" s="6">
        <f t="shared" si="0"/>
        <v>18</v>
      </c>
      <c r="W3" s="6">
        <f t="shared" si="0"/>
        <v>19</v>
      </c>
      <c r="X3" s="6">
        <f t="shared" si="0"/>
        <v>20</v>
      </c>
      <c r="Y3" s="6">
        <f>X3</f>
        <v>20</v>
      </c>
    </row>
    <row r="4" spans="1:28" x14ac:dyDescent="0.25">
      <c r="A4" s="9"/>
      <c r="B4" s="48" t="s">
        <v>82</v>
      </c>
      <c r="C4" s="46" t="str">
        <f>Summary!$D$4</f>
        <v>C</v>
      </c>
      <c r="D4" s="11" t="s">
        <v>103</v>
      </c>
      <c r="E4" s="5">
        <f>Inputs!E5</f>
        <v>25</v>
      </c>
      <c r="F4" s="5">
        <f>E4+1</f>
        <v>26</v>
      </c>
      <c r="G4" s="5">
        <f t="shared" si="0"/>
        <v>27</v>
      </c>
      <c r="H4" s="5">
        <f t="shared" si="0"/>
        <v>28</v>
      </c>
      <c r="I4" s="5">
        <f t="shared" si="0"/>
        <v>29</v>
      </c>
      <c r="J4" s="5">
        <f t="shared" si="0"/>
        <v>30</v>
      </c>
      <c r="K4" s="5">
        <f t="shared" si="0"/>
        <v>31</v>
      </c>
      <c r="L4" s="5">
        <f t="shared" si="0"/>
        <v>32</v>
      </c>
      <c r="M4" s="5">
        <f t="shared" si="0"/>
        <v>33</v>
      </c>
      <c r="N4" s="5">
        <f t="shared" si="0"/>
        <v>34</v>
      </c>
      <c r="O4" s="5">
        <f t="shared" si="0"/>
        <v>35</v>
      </c>
      <c r="P4" s="5">
        <f t="shared" si="0"/>
        <v>36</v>
      </c>
      <c r="Q4" s="5">
        <f t="shared" si="0"/>
        <v>37</v>
      </c>
      <c r="R4" s="5">
        <f t="shared" si="0"/>
        <v>38</v>
      </c>
      <c r="S4" s="5">
        <f t="shared" si="0"/>
        <v>39</v>
      </c>
      <c r="T4" s="5">
        <f t="shared" si="0"/>
        <v>40</v>
      </c>
      <c r="U4" s="5">
        <f t="shared" si="0"/>
        <v>41</v>
      </c>
      <c r="V4" s="5">
        <f t="shared" si="0"/>
        <v>42</v>
      </c>
      <c r="W4" s="5">
        <f t="shared" si="0"/>
        <v>43</v>
      </c>
      <c r="X4" s="5">
        <f t="shared" si="0"/>
        <v>44</v>
      </c>
      <c r="Y4" s="5" t="s">
        <v>92</v>
      </c>
    </row>
    <row r="5" spans="1:28" x14ac:dyDescent="0.25">
      <c r="A5" s="9"/>
      <c r="B5" s="49" t="s">
        <v>77</v>
      </c>
      <c r="C5" s="46">
        <f>Summary!$D$5</f>
        <v>55</v>
      </c>
      <c r="D5" s="53" t="s">
        <v>141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49" t="s">
        <v>93</v>
      </c>
      <c r="X5" s="52"/>
      <c r="Y5" s="70" t="str">
        <f>Summary!$D$7</f>
        <v>Yes</v>
      </c>
    </row>
    <row r="6" spans="1:28" x14ac:dyDescent="0.25">
      <c r="A6" s="9"/>
      <c r="B6" s="49" t="s">
        <v>81</v>
      </c>
      <c r="C6" s="46">
        <f>Summary!$D$6</f>
        <v>3</v>
      </c>
      <c r="D6" s="53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AA6" s="69"/>
    </row>
    <row r="7" spans="1:28" x14ac:dyDescent="0.25">
      <c r="A7" s="9"/>
      <c r="B7" s="1" t="s">
        <v>56</v>
      </c>
      <c r="C7" s="2"/>
      <c r="D7" s="12"/>
      <c r="E7" s="1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AA7" s="68" t="s">
        <v>86</v>
      </c>
    </row>
    <row r="8" spans="1:28" x14ac:dyDescent="0.25">
      <c r="A8" s="2"/>
      <c r="B8" s="2" t="s">
        <v>1</v>
      </c>
      <c r="C8" s="14"/>
      <c r="D8" s="15"/>
      <c r="E8" s="28">
        <f t="shared" ref="E8:N14" si="1">VLOOKUP($C$4&amp;$C$6&amp;$C$5&amp;$B8,YieldTable,E$1,FALSE)</f>
        <v>49.091145833333336</v>
      </c>
      <c r="F8" s="28">
        <f t="shared" si="1"/>
        <v>0</v>
      </c>
      <c r="G8" s="28">
        <f t="shared" si="1"/>
        <v>0</v>
      </c>
      <c r="H8" s="28">
        <f t="shared" si="1"/>
        <v>26.590335000000003</v>
      </c>
      <c r="I8" s="28">
        <f t="shared" si="1"/>
        <v>0</v>
      </c>
      <c r="J8" s="28">
        <f t="shared" si="1"/>
        <v>0</v>
      </c>
      <c r="K8" s="28">
        <f t="shared" si="1"/>
        <v>32.137887499999991</v>
      </c>
      <c r="L8" s="28">
        <f t="shared" si="1"/>
        <v>0</v>
      </c>
      <c r="M8" s="28">
        <f t="shared" si="1"/>
        <v>0</v>
      </c>
      <c r="N8" s="28">
        <f t="shared" si="1"/>
        <v>28.005298611111112</v>
      </c>
      <c r="O8" s="28">
        <f t="shared" ref="O8:X14" si="2">VLOOKUP($C$4&amp;$C$6&amp;$C$5&amp;$B8,YieldTable,O$1,FALSE)</f>
        <v>0</v>
      </c>
      <c r="P8" s="28">
        <f t="shared" si="2"/>
        <v>0</v>
      </c>
      <c r="Q8" s="28">
        <f t="shared" si="2"/>
        <v>10.952491666666669</v>
      </c>
      <c r="R8" s="28">
        <f t="shared" si="2"/>
        <v>0</v>
      </c>
      <c r="S8" s="28">
        <f t="shared" si="2"/>
        <v>0</v>
      </c>
      <c r="T8" s="28">
        <f t="shared" si="2"/>
        <v>9.0670138888888889</v>
      </c>
      <c r="U8" s="28">
        <f t="shared" si="2"/>
        <v>0</v>
      </c>
      <c r="V8" s="28">
        <f t="shared" si="2"/>
        <v>0</v>
      </c>
      <c r="W8" s="28">
        <f t="shared" si="2"/>
        <v>13.31005388888889</v>
      </c>
      <c r="X8" s="28">
        <f t="shared" si="2"/>
        <v>0</v>
      </c>
      <c r="Y8" s="28">
        <f>IF($Y$5="Yes",VLOOKUP($C$4&amp;$C$6&amp;$C$5&amp;$B8,YieldTable,Y$1,FALSE),0)</f>
        <v>76.555683458333348</v>
      </c>
      <c r="AA8" s="64">
        <f t="shared" ref="AA8:AA14" si="3">SUM(E8:Y8)</f>
        <v>245.70990984722221</v>
      </c>
      <c r="AB8" s="51"/>
    </row>
    <row r="9" spans="1:28" x14ac:dyDescent="0.25">
      <c r="A9" s="2"/>
      <c r="B9" s="2" t="s">
        <v>52</v>
      </c>
      <c r="C9" s="14"/>
      <c r="D9" s="15"/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  <c r="J9" s="28">
        <f t="shared" si="1"/>
        <v>0</v>
      </c>
      <c r="K9" s="28">
        <f t="shared" si="1"/>
        <v>0</v>
      </c>
      <c r="L9" s="28">
        <f t="shared" si="1"/>
        <v>0</v>
      </c>
      <c r="M9" s="28">
        <f t="shared" si="1"/>
        <v>0</v>
      </c>
      <c r="N9" s="28">
        <f t="shared" si="1"/>
        <v>0</v>
      </c>
      <c r="O9" s="28">
        <f t="shared" si="2"/>
        <v>0</v>
      </c>
      <c r="P9" s="28">
        <f t="shared" si="2"/>
        <v>0</v>
      </c>
      <c r="Q9" s="28">
        <f t="shared" si="2"/>
        <v>0</v>
      </c>
      <c r="R9" s="28">
        <f t="shared" si="2"/>
        <v>0</v>
      </c>
      <c r="S9" s="28">
        <f t="shared" si="2"/>
        <v>0</v>
      </c>
      <c r="T9" s="28">
        <f t="shared" si="2"/>
        <v>0</v>
      </c>
      <c r="U9" s="28">
        <f t="shared" si="2"/>
        <v>0</v>
      </c>
      <c r="V9" s="28">
        <f t="shared" si="2"/>
        <v>0</v>
      </c>
      <c r="W9" s="28">
        <f t="shared" si="2"/>
        <v>0</v>
      </c>
      <c r="X9" s="28">
        <f t="shared" si="2"/>
        <v>0</v>
      </c>
      <c r="Y9" s="28">
        <f>IF(Y5="Yes",VLOOKUP($C$4&amp;$C$6&amp;$C$5&amp;$B9,YieldTable,Y$1,FALSE),0)</f>
        <v>0</v>
      </c>
      <c r="AA9" s="64">
        <f t="shared" si="3"/>
        <v>0</v>
      </c>
      <c r="AB9" s="51"/>
    </row>
    <row r="10" spans="1:28" x14ac:dyDescent="0.25">
      <c r="A10" s="2"/>
      <c r="B10" s="2" t="s">
        <v>2</v>
      </c>
      <c r="C10" s="14"/>
      <c r="D10" s="15"/>
      <c r="E10" s="28">
        <f t="shared" si="1"/>
        <v>42.670590833333335</v>
      </c>
      <c r="F10" s="28">
        <f t="shared" si="1"/>
        <v>0</v>
      </c>
      <c r="G10" s="28">
        <f t="shared" si="1"/>
        <v>0</v>
      </c>
      <c r="H10" s="28">
        <f t="shared" si="1"/>
        <v>30.763100555555553</v>
      </c>
      <c r="I10" s="28">
        <f t="shared" si="1"/>
        <v>0</v>
      </c>
      <c r="J10" s="28">
        <f t="shared" si="1"/>
        <v>0</v>
      </c>
      <c r="K10" s="28">
        <f t="shared" si="1"/>
        <v>25.080454722222225</v>
      </c>
      <c r="L10" s="28">
        <f t="shared" si="1"/>
        <v>0</v>
      </c>
      <c r="M10" s="28">
        <f t="shared" si="1"/>
        <v>0</v>
      </c>
      <c r="N10" s="28">
        <f t="shared" si="1"/>
        <v>28.511386388888887</v>
      </c>
      <c r="O10" s="28">
        <f t="shared" si="2"/>
        <v>0</v>
      </c>
      <c r="P10" s="28">
        <f t="shared" si="2"/>
        <v>0</v>
      </c>
      <c r="Q10" s="28">
        <f t="shared" si="2"/>
        <v>8.2505005555555559</v>
      </c>
      <c r="R10" s="28">
        <f t="shared" si="2"/>
        <v>0</v>
      </c>
      <c r="S10" s="28">
        <f t="shared" si="2"/>
        <v>0</v>
      </c>
      <c r="T10" s="28">
        <f t="shared" si="2"/>
        <v>14.139822222222225</v>
      </c>
      <c r="U10" s="28">
        <f t="shared" si="2"/>
        <v>0</v>
      </c>
      <c r="V10" s="28">
        <f t="shared" si="2"/>
        <v>0</v>
      </c>
      <c r="W10" s="28">
        <f t="shared" si="2"/>
        <v>14.62140611111111</v>
      </c>
      <c r="X10" s="28">
        <f t="shared" si="2"/>
        <v>0</v>
      </c>
      <c r="Y10" s="28">
        <f>IF(Y5="Yes",VLOOKUP($C$4&amp;$C$6&amp;$C$5&amp;$B10,YieldTable,Y$1,FALSE),0)</f>
        <v>109.47063808333334</v>
      </c>
      <c r="AA10" s="64">
        <f>SUM(E10:Y10)</f>
        <v>273.50789947222222</v>
      </c>
      <c r="AB10" s="51"/>
    </row>
    <row r="11" spans="1:28" x14ac:dyDescent="0.25">
      <c r="A11" s="2"/>
      <c r="B11" s="2" t="s">
        <v>3</v>
      </c>
      <c r="C11" s="14"/>
      <c r="D11" s="15"/>
      <c r="E11" s="28">
        <f t="shared" si="1"/>
        <v>3.5507919444444438</v>
      </c>
      <c r="F11" s="28">
        <f t="shared" si="1"/>
        <v>0</v>
      </c>
      <c r="G11" s="28">
        <f t="shared" si="1"/>
        <v>0</v>
      </c>
      <c r="H11" s="28">
        <f t="shared" si="1"/>
        <v>4.7941705555555565</v>
      </c>
      <c r="I11" s="28">
        <f>VLOOKUP($C$4&amp;$C$6&amp;$C$5&amp;$B11,YieldTable,I$1,FALSE)</f>
        <v>0</v>
      </c>
      <c r="J11" s="28">
        <f t="shared" si="1"/>
        <v>0</v>
      </c>
      <c r="K11" s="28">
        <f t="shared" si="1"/>
        <v>2.4808447222222223</v>
      </c>
      <c r="L11" s="28">
        <f t="shared" si="1"/>
        <v>0</v>
      </c>
      <c r="M11" s="28">
        <f t="shared" si="1"/>
        <v>0</v>
      </c>
      <c r="N11" s="28">
        <f t="shared" si="1"/>
        <v>4.083473333333334</v>
      </c>
      <c r="O11" s="28">
        <f t="shared" si="2"/>
        <v>0</v>
      </c>
      <c r="P11" s="28">
        <f t="shared" si="2"/>
        <v>0</v>
      </c>
      <c r="Q11" s="28">
        <f t="shared" si="2"/>
        <v>0.59547444444444442</v>
      </c>
      <c r="R11" s="28">
        <f t="shared" si="2"/>
        <v>0</v>
      </c>
      <c r="S11" s="28">
        <f t="shared" si="2"/>
        <v>0</v>
      </c>
      <c r="T11" s="28">
        <f t="shared" si="2"/>
        <v>7.5662716666666663</v>
      </c>
      <c r="U11" s="28">
        <f t="shared" si="2"/>
        <v>0</v>
      </c>
      <c r="V11" s="28">
        <f t="shared" si="2"/>
        <v>0</v>
      </c>
      <c r="W11" s="28">
        <f t="shared" si="2"/>
        <v>2.0240347222222224</v>
      </c>
      <c r="X11" s="28">
        <f t="shared" si="2"/>
        <v>0</v>
      </c>
      <c r="Y11" s="28">
        <f>IF(Y5="Yes",VLOOKUP($C$4&amp;$C$6&amp;$C$5&amp;$B11,YieldTable,Y$1,FALSE),0)</f>
        <v>59.116103083333321</v>
      </c>
      <c r="AA11" s="64">
        <f t="shared" si="3"/>
        <v>84.211164472222208</v>
      </c>
      <c r="AB11" s="51"/>
    </row>
    <row r="12" spans="1:28" x14ac:dyDescent="0.25">
      <c r="A12" s="2"/>
      <c r="B12" s="2" t="s">
        <v>4</v>
      </c>
      <c r="C12" s="14"/>
      <c r="D12" s="15"/>
      <c r="E12" s="28">
        <f t="shared" si="1"/>
        <v>43.188222777777781</v>
      </c>
      <c r="F12" s="28">
        <f t="shared" si="1"/>
        <v>0</v>
      </c>
      <c r="G12" s="28">
        <f t="shared" si="1"/>
        <v>0</v>
      </c>
      <c r="H12" s="28">
        <f t="shared" si="1"/>
        <v>26.421186111111108</v>
      </c>
      <c r="I12" s="28">
        <f t="shared" si="1"/>
        <v>0</v>
      </c>
      <c r="J12" s="28">
        <f t="shared" si="1"/>
        <v>0</v>
      </c>
      <c r="K12" s="28">
        <f t="shared" si="1"/>
        <v>25.286400555555559</v>
      </c>
      <c r="L12" s="28">
        <f t="shared" si="1"/>
        <v>0</v>
      </c>
      <c r="M12" s="28">
        <f t="shared" si="1"/>
        <v>0</v>
      </c>
      <c r="N12" s="28">
        <f t="shared" si="1"/>
        <v>12.555425833333334</v>
      </c>
      <c r="O12" s="28">
        <f t="shared" si="2"/>
        <v>0</v>
      </c>
      <c r="P12" s="28">
        <f t="shared" si="2"/>
        <v>0</v>
      </c>
      <c r="Q12" s="28">
        <f t="shared" si="2"/>
        <v>12.80092138888889</v>
      </c>
      <c r="R12" s="28">
        <f t="shared" si="2"/>
        <v>0</v>
      </c>
      <c r="S12" s="28">
        <f t="shared" si="2"/>
        <v>0</v>
      </c>
      <c r="T12" s="28">
        <f t="shared" si="2"/>
        <v>8.2775877777777787</v>
      </c>
      <c r="U12" s="28">
        <f t="shared" si="2"/>
        <v>0</v>
      </c>
      <c r="V12" s="28">
        <f t="shared" si="2"/>
        <v>0</v>
      </c>
      <c r="W12" s="28">
        <f t="shared" si="2"/>
        <v>10.451150277777778</v>
      </c>
      <c r="X12" s="28">
        <f t="shared" si="2"/>
        <v>0</v>
      </c>
      <c r="Y12" s="28">
        <f>IF(Y5="Yes",VLOOKUP($C$4&amp;$C$6&amp;$C$5&amp;$B12,YieldTable,Y$1,FALSE),0)</f>
        <v>86.483344791666653</v>
      </c>
      <c r="AA12" s="64">
        <f t="shared" si="3"/>
        <v>225.46423951388886</v>
      </c>
      <c r="AB12" s="51"/>
    </row>
    <row r="13" spans="1:28" x14ac:dyDescent="0.25">
      <c r="A13" s="2"/>
      <c r="B13" s="2" t="s">
        <v>5</v>
      </c>
      <c r="C13" s="14"/>
      <c r="D13" s="15"/>
      <c r="E13" s="28">
        <f t="shared" si="1"/>
        <v>3.4730250000000003</v>
      </c>
      <c r="F13" s="28">
        <f t="shared" si="1"/>
        <v>0</v>
      </c>
      <c r="G13" s="28">
        <f t="shared" si="1"/>
        <v>0</v>
      </c>
      <c r="H13" s="28">
        <f t="shared" si="1"/>
        <v>2.403431388888889</v>
      </c>
      <c r="I13" s="28">
        <f t="shared" si="1"/>
        <v>0</v>
      </c>
      <c r="J13" s="28">
        <f t="shared" si="1"/>
        <v>0</v>
      </c>
      <c r="K13" s="28">
        <f t="shared" si="1"/>
        <v>5.4703213888888893</v>
      </c>
      <c r="L13" s="28">
        <f t="shared" si="1"/>
        <v>0</v>
      </c>
      <c r="M13" s="28">
        <f t="shared" si="1"/>
        <v>0</v>
      </c>
      <c r="N13" s="28">
        <f t="shared" si="1"/>
        <v>1.1284924999999999</v>
      </c>
      <c r="O13" s="28">
        <f t="shared" si="2"/>
        <v>0</v>
      </c>
      <c r="P13" s="28">
        <f t="shared" si="2"/>
        <v>0</v>
      </c>
      <c r="Q13" s="28">
        <f t="shared" si="2"/>
        <v>0.40199638888888894</v>
      </c>
      <c r="R13" s="28">
        <f t="shared" si="2"/>
        <v>0</v>
      </c>
      <c r="S13" s="28">
        <f t="shared" si="2"/>
        <v>0</v>
      </c>
      <c r="T13" s="28">
        <f t="shared" si="2"/>
        <v>1.7826144444444445</v>
      </c>
      <c r="U13" s="28">
        <f t="shared" si="2"/>
        <v>0</v>
      </c>
      <c r="V13" s="28">
        <f t="shared" si="2"/>
        <v>0</v>
      </c>
      <c r="W13" s="28">
        <f t="shared" si="2"/>
        <v>0.86829388888888903</v>
      </c>
      <c r="X13" s="28">
        <f t="shared" si="2"/>
        <v>0</v>
      </c>
      <c r="Y13" s="28">
        <f>IF(Y5="Yes",VLOOKUP($C$4&amp;$C$6&amp;$C$5&amp;$B13,YieldTable,Y$1,FALSE),0)</f>
        <v>16.585635208333333</v>
      </c>
      <c r="AA13" s="64">
        <f>SUM(E13:Y13)</f>
        <v>32.113810208333334</v>
      </c>
      <c r="AB13" s="51"/>
    </row>
    <row r="14" spans="1:28" x14ac:dyDescent="0.25">
      <c r="A14" s="2"/>
      <c r="B14" s="2" t="s">
        <v>51</v>
      </c>
      <c r="C14" s="14"/>
      <c r="D14" s="15"/>
      <c r="E14" s="28">
        <f t="shared" si="1"/>
        <v>1.3674045833333335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2.3953704722222224</v>
      </c>
      <c r="L14" s="28">
        <f t="shared" si="1"/>
        <v>0</v>
      </c>
      <c r="M14" s="28">
        <f t="shared" si="1"/>
        <v>0</v>
      </c>
      <c r="N14" s="28">
        <f t="shared" si="1"/>
        <v>0.19705294444444443</v>
      </c>
      <c r="O14" s="28">
        <f t="shared" si="2"/>
        <v>0</v>
      </c>
      <c r="P14" s="28">
        <f t="shared" si="2"/>
        <v>0</v>
      </c>
      <c r="Q14" s="28">
        <f t="shared" si="2"/>
        <v>0</v>
      </c>
      <c r="R14" s="28">
        <f t="shared" si="2"/>
        <v>0</v>
      </c>
      <c r="S14" s="28">
        <f t="shared" si="2"/>
        <v>0</v>
      </c>
      <c r="T14" s="28">
        <f t="shared" si="2"/>
        <v>0.93612000000000006</v>
      </c>
      <c r="U14" s="28">
        <f t="shared" si="2"/>
        <v>0</v>
      </c>
      <c r="V14" s="28">
        <f t="shared" si="2"/>
        <v>0</v>
      </c>
      <c r="W14" s="28">
        <f t="shared" si="2"/>
        <v>1.3108733333333333</v>
      </c>
      <c r="X14" s="28">
        <f t="shared" si="2"/>
        <v>0</v>
      </c>
      <c r="Y14" s="28">
        <f>IF(Y5="Yes",VLOOKUP($C$4&amp;$C$6&amp;$C$5&amp;$B14,YieldTable,Y$1,FALSE),0)</f>
        <v>9.0820044000000006</v>
      </c>
      <c r="AA14" s="64">
        <f t="shared" si="3"/>
        <v>15.288825733333335</v>
      </c>
      <c r="AB14" s="51"/>
    </row>
    <row r="15" spans="1:28" x14ac:dyDescent="0.25">
      <c r="A15" s="2"/>
      <c r="B15" s="50" t="s">
        <v>84</v>
      </c>
      <c r="C15" s="14"/>
      <c r="D15" s="15"/>
      <c r="E15" s="28">
        <f>IFERROR(E17/E16,0)</f>
        <v>2.4572773880952381</v>
      </c>
      <c r="F15" s="28">
        <f t="shared" ref="F15:X15" si="4">IFERROR(F17/F16,0)</f>
        <v>0</v>
      </c>
      <c r="G15" s="28">
        <f t="shared" si="4"/>
        <v>0</v>
      </c>
      <c r="H15" s="28">
        <f t="shared" si="4"/>
        <v>2.5192308076923076</v>
      </c>
      <c r="I15" s="28">
        <f t="shared" si="4"/>
        <v>0</v>
      </c>
      <c r="J15" s="28">
        <f t="shared" si="4"/>
        <v>0</v>
      </c>
      <c r="K15" s="28">
        <f t="shared" si="4"/>
        <v>2.3876043264285713</v>
      </c>
      <c r="L15" s="28">
        <f t="shared" si="4"/>
        <v>0</v>
      </c>
      <c r="M15" s="28">
        <f t="shared" si="4"/>
        <v>0</v>
      </c>
      <c r="N15" s="28">
        <f t="shared" si="4"/>
        <v>2.6813206659999995</v>
      </c>
      <c r="O15" s="28">
        <f t="shared" si="4"/>
        <v>0</v>
      </c>
      <c r="P15" s="28">
        <f t="shared" si="4"/>
        <v>0</v>
      </c>
      <c r="Q15" s="28">
        <f t="shared" si="4"/>
        <v>2.3760996800000003</v>
      </c>
      <c r="R15" s="28">
        <f t="shared" si="4"/>
        <v>0</v>
      </c>
      <c r="S15" s="28">
        <f t="shared" si="4"/>
        <v>0</v>
      </c>
      <c r="T15" s="28">
        <f t="shared" si="4"/>
        <v>2.5061658000000007</v>
      </c>
      <c r="U15" s="28">
        <f t="shared" si="4"/>
        <v>0</v>
      </c>
      <c r="V15" s="28">
        <f t="shared" si="4"/>
        <v>0</v>
      </c>
      <c r="W15" s="28">
        <f t="shared" si="4"/>
        <v>3.0661784799999996</v>
      </c>
      <c r="X15" s="28">
        <f t="shared" si="4"/>
        <v>0</v>
      </c>
      <c r="Y15" s="28">
        <f>IFERROR(Y17/Y16,0)</f>
        <v>1.9140718340624998</v>
      </c>
      <c r="AA15" s="64"/>
      <c r="AB15" s="54"/>
    </row>
    <row r="16" spans="1:28" x14ac:dyDescent="0.25">
      <c r="A16" s="2"/>
      <c r="B16" s="50" t="s">
        <v>85</v>
      </c>
      <c r="C16" s="14"/>
      <c r="D16" s="15"/>
      <c r="E16" s="28">
        <f t="shared" ref="E16:X16" si="5">VLOOKUP($C$4&amp;$C$6&amp;$C$5&amp;$B16,YieldTable,E$1,FALSE)</f>
        <v>58.333333333333336</v>
      </c>
      <c r="F16" s="28">
        <f t="shared" si="5"/>
        <v>0</v>
      </c>
      <c r="G16" s="28">
        <f t="shared" si="5"/>
        <v>0</v>
      </c>
      <c r="H16" s="28">
        <f t="shared" si="5"/>
        <v>36.111111111111114</v>
      </c>
      <c r="I16" s="28">
        <f t="shared" si="5"/>
        <v>0</v>
      </c>
      <c r="J16" s="28">
        <f t="shared" si="5"/>
        <v>0</v>
      </c>
      <c r="K16" s="28">
        <f t="shared" si="5"/>
        <v>38.888888888888893</v>
      </c>
      <c r="L16" s="28">
        <f t="shared" si="5"/>
        <v>0</v>
      </c>
      <c r="M16" s="28">
        <f t="shared" si="5"/>
        <v>0</v>
      </c>
      <c r="N16" s="28">
        <f t="shared" si="5"/>
        <v>27.777777777777779</v>
      </c>
      <c r="O16" s="28">
        <f t="shared" si="5"/>
        <v>0</v>
      </c>
      <c r="P16" s="28">
        <f t="shared" si="5"/>
        <v>0</v>
      </c>
      <c r="Q16" s="28">
        <f t="shared" si="5"/>
        <v>13.888888888888889</v>
      </c>
      <c r="R16" s="28">
        <f t="shared" si="5"/>
        <v>0</v>
      </c>
      <c r="S16" s="28">
        <f t="shared" si="5"/>
        <v>0</v>
      </c>
      <c r="T16" s="28">
        <f t="shared" si="5"/>
        <v>16.666666666666668</v>
      </c>
      <c r="U16" s="28">
        <f t="shared" si="5"/>
        <v>0</v>
      </c>
      <c r="V16" s="28">
        <f t="shared" si="5"/>
        <v>0</v>
      </c>
      <c r="W16" s="28">
        <f t="shared" si="5"/>
        <v>13.888888888888889</v>
      </c>
      <c r="X16" s="28">
        <f t="shared" si="5"/>
        <v>0</v>
      </c>
      <c r="Y16" s="28">
        <f>IF(Y5="Yes",VLOOKUP($C$4&amp;$C$6&amp;$C$5&amp;$B16,YieldTable,Y$1,FALSE),0)</f>
        <v>186.66666666666666</v>
      </c>
      <c r="AA16" s="65">
        <f>SUM(E16:Y16)</f>
        <v>392.22222222222217</v>
      </c>
      <c r="AB16" s="54"/>
    </row>
    <row r="17" spans="1:27" ht="12.75" customHeight="1" x14ac:dyDescent="0.25">
      <c r="A17" s="2"/>
      <c r="B17" s="16" t="s">
        <v>59</v>
      </c>
      <c r="C17" s="17"/>
      <c r="D17" s="18"/>
      <c r="E17" s="38">
        <f>SUM(E8:E14)</f>
        <v>143.34118097222222</v>
      </c>
      <c r="F17" s="38">
        <f t="shared" ref="F17:X17" si="6">SUM(F8:F14)</f>
        <v>0</v>
      </c>
      <c r="G17" s="38">
        <f t="shared" si="6"/>
        <v>0</v>
      </c>
      <c r="H17" s="38">
        <f t="shared" si="6"/>
        <v>90.972223611111119</v>
      </c>
      <c r="I17" s="38">
        <f>SUM(I8:I14)</f>
        <v>0</v>
      </c>
      <c r="J17" s="38">
        <f>SUM(J8:J14)</f>
        <v>0</v>
      </c>
      <c r="K17" s="38">
        <f t="shared" si="6"/>
        <v>92.851279361111125</v>
      </c>
      <c r="L17" s="38">
        <f t="shared" si="6"/>
        <v>0</v>
      </c>
      <c r="M17" s="38">
        <f t="shared" si="6"/>
        <v>0</v>
      </c>
      <c r="N17" s="38">
        <f t="shared" si="6"/>
        <v>74.481129611111101</v>
      </c>
      <c r="O17" s="38">
        <f t="shared" si="6"/>
        <v>0</v>
      </c>
      <c r="P17" s="38">
        <f t="shared" si="6"/>
        <v>0</v>
      </c>
      <c r="Q17" s="38">
        <f t="shared" si="6"/>
        <v>33.001384444444447</v>
      </c>
      <c r="R17" s="38">
        <f t="shared" si="6"/>
        <v>0</v>
      </c>
      <c r="S17" s="38">
        <f t="shared" si="6"/>
        <v>0</v>
      </c>
      <c r="T17" s="38">
        <f t="shared" si="6"/>
        <v>41.769430000000014</v>
      </c>
      <c r="U17" s="38">
        <f t="shared" si="6"/>
        <v>0</v>
      </c>
      <c r="V17" s="38">
        <f t="shared" si="6"/>
        <v>0</v>
      </c>
      <c r="W17" s="38">
        <f t="shared" si="6"/>
        <v>42.585812222222216</v>
      </c>
      <c r="X17" s="38">
        <f t="shared" si="6"/>
        <v>0</v>
      </c>
      <c r="Y17" s="38">
        <f>SUM(Y8:Y14)</f>
        <v>357.29340902499996</v>
      </c>
      <c r="AA17" s="66">
        <f>SUM(E17:Y17)</f>
        <v>876.29584924722224</v>
      </c>
    </row>
    <row r="18" spans="1:27" x14ac:dyDescent="0.25">
      <c r="A18" s="9"/>
      <c r="B18" s="1" t="s">
        <v>57</v>
      </c>
      <c r="C18" s="2"/>
      <c r="D18" s="12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7" x14ac:dyDescent="0.25">
      <c r="A19" s="9"/>
      <c r="B19" s="2" t="s">
        <v>1</v>
      </c>
      <c r="C19" s="2"/>
      <c r="D19" s="12"/>
      <c r="E19" s="5">
        <f t="shared" ref="E19:N25" si="7">VLOOKUP($B19,Log_prices,2,FALSE)</f>
        <v>183.1</v>
      </c>
      <c r="F19" s="5">
        <f t="shared" si="7"/>
        <v>183.1</v>
      </c>
      <c r="G19" s="5">
        <f t="shared" si="7"/>
        <v>183.1</v>
      </c>
      <c r="H19" s="5">
        <f t="shared" si="7"/>
        <v>183.1</v>
      </c>
      <c r="I19" s="5">
        <f t="shared" si="7"/>
        <v>183.1</v>
      </c>
      <c r="J19" s="5">
        <f t="shared" si="7"/>
        <v>183.1</v>
      </c>
      <c r="K19" s="5">
        <f t="shared" si="7"/>
        <v>183.1</v>
      </c>
      <c r="L19" s="5">
        <f t="shared" si="7"/>
        <v>183.1</v>
      </c>
      <c r="M19" s="5">
        <f t="shared" si="7"/>
        <v>183.1</v>
      </c>
      <c r="N19" s="5">
        <f t="shared" si="7"/>
        <v>183.1</v>
      </c>
      <c r="O19" s="5">
        <f t="shared" ref="O19:Y25" si="8">VLOOKUP($B19,Log_prices,2,FALSE)</f>
        <v>183.1</v>
      </c>
      <c r="P19" s="5">
        <f t="shared" si="8"/>
        <v>183.1</v>
      </c>
      <c r="Q19" s="5">
        <f t="shared" si="8"/>
        <v>183.1</v>
      </c>
      <c r="R19" s="5">
        <f t="shared" si="8"/>
        <v>183.1</v>
      </c>
      <c r="S19" s="5">
        <f t="shared" si="8"/>
        <v>183.1</v>
      </c>
      <c r="T19" s="5">
        <f t="shared" si="8"/>
        <v>183.1</v>
      </c>
      <c r="U19" s="5">
        <f t="shared" si="8"/>
        <v>183.1</v>
      </c>
      <c r="V19" s="5">
        <f t="shared" si="8"/>
        <v>183.1</v>
      </c>
      <c r="W19" s="5">
        <f t="shared" si="8"/>
        <v>183.1</v>
      </c>
      <c r="X19" s="5">
        <f t="shared" si="8"/>
        <v>183.1</v>
      </c>
      <c r="Y19" s="5">
        <f t="shared" si="8"/>
        <v>183.1</v>
      </c>
    </row>
    <row r="20" spans="1:27" x14ac:dyDescent="0.25">
      <c r="A20" s="9"/>
      <c r="B20" s="2" t="s">
        <v>52</v>
      </c>
      <c r="C20" s="2"/>
      <c r="D20" s="12"/>
      <c r="E20" s="5">
        <f t="shared" si="7"/>
        <v>140.1</v>
      </c>
      <c r="F20" s="5">
        <f t="shared" si="7"/>
        <v>140.1</v>
      </c>
      <c r="G20" s="5">
        <f t="shared" si="7"/>
        <v>140.1</v>
      </c>
      <c r="H20" s="5">
        <f t="shared" si="7"/>
        <v>140.1</v>
      </c>
      <c r="I20" s="5">
        <f t="shared" si="7"/>
        <v>140.1</v>
      </c>
      <c r="J20" s="5">
        <f t="shared" si="7"/>
        <v>140.1</v>
      </c>
      <c r="K20" s="5">
        <f t="shared" si="7"/>
        <v>140.1</v>
      </c>
      <c r="L20" s="5">
        <f t="shared" si="7"/>
        <v>140.1</v>
      </c>
      <c r="M20" s="5">
        <f t="shared" si="7"/>
        <v>140.1</v>
      </c>
      <c r="N20" s="5">
        <f t="shared" si="7"/>
        <v>140.1</v>
      </c>
      <c r="O20" s="5">
        <f t="shared" si="8"/>
        <v>140.1</v>
      </c>
      <c r="P20" s="5">
        <f t="shared" si="8"/>
        <v>140.1</v>
      </c>
      <c r="Q20" s="5">
        <f t="shared" si="8"/>
        <v>140.1</v>
      </c>
      <c r="R20" s="5">
        <f t="shared" si="8"/>
        <v>140.1</v>
      </c>
      <c r="S20" s="5">
        <f t="shared" si="8"/>
        <v>140.1</v>
      </c>
      <c r="T20" s="5">
        <f t="shared" si="8"/>
        <v>140.1</v>
      </c>
      <c r="U20" s="5">
        <f t="shared" si="8"/>
        <v>140.1</v>
      </c>
      <c r="V20" s="5">
        <f t="shared" si="8"/>
        <v>140.1</v>
      </c>
      <c r="W20" s="5">
        <f t="shared" si="8"/>
        <v>140.1</v>
      </c>
      <c r="X20" s="5">
        <f t="shared" si="8"/>
        <v>140.1</v>
      </c>
      <c r="Y20" s="5">
        <f t="shared" si="8"/>
        <v>140.1</v>
      </c>
    </row>
    <row r="21" spans="1:27" x14ac:dyDescent="0.25">
      <c r="A21" s="9"/>
      <c r="B21" s="2" t="s">
        <v>2</v>
      </c>
      <c r="C21" s="2"/>
      <c r="D21" s="12"/>
      <c r="E21" s="5">
        <f t="shared" si="7"/>
        <v>139.69999999999999</v>
      </c>
      <c r="F21" s="5">
        <f t="shared" si="7"/>
        <v>139.69999999999999</v>
      </c>
      <c r="G21" s="5">
        <f t="shared" si="7"/>
        <v>139.69999999999999</v>
      </c>
      <c r="H21" s="5">
        <f t="shared" si="7"/>
        <v>139.69999999999999</v>
      </c>
      <c r="I21" s="5">
        <f t="shared" si="7"/>
        <v>139.69999999999999</v>
      </c>
      <c r="J21" s="5">
        <f t="shared" si="7"/>
        <v>139.69999999999999</v>
      </c>
      <c r="K21" s="5">
        <f t="shared" si="7"/>
        <v>139.69999999999999</v>
      </c>
      <c r="L21" s="5">
        <f t="shared" si="7"/>
        <v>139.69999999999999</v>
      </c>
      <c r="M21" s="5">
        <f t="shared" si="7"/>
        <v>139.69999999999999</v>
      </c>
      <c r="N21" s="5">
        <f t="shared" si="7"/>
        <v>139.69999999999999</v>
      </c>
      <c r="O21" s="5">
        <f t="shared" si="8"/>
        <v>139.69999999999999</v>
      </c>
      <c r="P21" s="5">
        <f t="shared" si="8"/>
        <v>139.69999999999999</v>
      </c>
      <c r="Q21" s="5">
        <f t="shared" si="8"/>
        <v>139.69999999999999</v>
      </c>
      <c r="R21" s="5">
        <f t="shared" si="8"/>
        <v>139.69999999999999</v>
      </c>
      <c r="S21" s="5">
        <f t="shared" si="8"/>
        <v>139.69999999999999</v>
      </c>
      <c r="T21" s="5">
        <f t="shared" si="8"/>
        <v>139.69999999999999</v>
      </c>
      <c r="U21" s="5">
        <f t="shared" si="8"/>
        <v>139.69999999999999</v>
      </c>
      <c r="V21" s="5">
        <f t="shared" si="8"/>
        <v>139.69999999999999</v>
      </c>
      <c r="W21" s="5">
        <f t="shared" si="8"/>
        <v>139.69999999999999</v>
      </c>
      <c r="X21" s="5">
        <f t="shared" si="8"/>
        <v>139.69999999999999</v>
      </c>
      <c r="Y21" s="5">
        <f t="shared" si="8"/>
        <v>139.69999999999999</v>
      </c>
    </row>
    <row r="22" spans="1:27" x14ac:dyDescent="0.25">
      <c r="A22" s="9"/>
      <c r="B22" s="2" t="s">
        <v>3</v>
      </c>
      <c r="C22" s="2"/>
      <c r="D22" s="12"/>
      <c r="E22" s="5">
        <f t="shared" si="7"/>
        <v>128.4</v>
      </c>
      <c r="F22" s="5">
        <f t="shared" si="7"/>
        <v>128.4</v>
      </c>
      <c r="G22" s="5">
        <f t="shared" si="7"/>
        <v>128.4</v>
      </c>
      <c r="H22" s="5">
        <f>VLOOKUP($B22,Log_prices,2,FALSE)</f>
        <v>128.4</v>
      </c>
      <c r="I22" s="5">
        <f t="shared" si="7"/>
        <v>128.4</v>
      </c>
      <c r="J22" s="5">
        <f t="shared" si="7"/>
        <v>128.4</v>
      </c>
      <c r="K22" s="5">
        <f t="shared" si="7"/>
        <v>128.4</v>
      </c>
      <c r="L22" s="5">
        <f t="shared" si="7"/>
        <v>128.4</v>
      </c>
      <c r="M22" s="5">
        <f t="shared" si="7"/>
        <v>128.4</v>
      </c>
      <c r="N22" s="5">
        <f t="shared" si="7"/>
        <v>128.4</v>
      </c>
      <c r="O22" s="5">
        <f t="shared" si="8"/>
        <v>128.4</v>
      </c>
      <c r="P22" s="5">
        <f t="shared" si="8"/>
        <v>128.4</v>
      </c>
      <c r="Q22" s="5">
        <f t="shared" si="8"/>
        <v>128.4</v>
      </c>
      <c r="R22" s="5">
        <f t="shared" si="8"/>
        <v>128.4</v>
      </c>
      <c r="S22" s="5">
        <f t="shared" si="8"/>
        <v>128.4</v>
      </c>
      <c r="T22" s="5">
        <f t="shared" si="8"/>
        <v>128.4</v>
      </c>
      <c r="U22" s="5">
        <f t="shared" si="8"/>
        <v>128.4</v>
      </c>
      <c r="V22" s="5">
        <f t="shared" si="8"/>
        <v>128.4</v>
      </c>
      <c r="W22" s="5">
        <f t="shared" si="8"/>
        <v>128.4</v>
      </c>
      <c r="X22" s="5">
        <f t="shared" si="8"/>
        <v>128.4</v>
      </c>
      <c r="Y22" s="5">
        <f t="shared" si="8"/>
        <v>128.4</v>
      </c>
    </row>
    <row r="23" spans="1:27" x14ac:dyDescent="0.25">
      <c r="A23" s="9"/>
      <c r="B23" s="2" t="s">
        <v>4</v>
      </c>
      <c r="C23" s="2"/>
      <c r="D23" s="12"/>
      <c r="E23" s="5">
        <f t="shared" si="7"/>
        <v>116.4</v>
      </c>
      <c r="F23" s="5">
        <f t="shared" si="7"/>
        <v>116.4</v>
      </c>
      <c r="G23" s="5">
        <f t="shared" si="7"/>
        <v>116.4</v>
      </c>
      <c r="H23" s="5">
        <f t="shared" si="7"/>
        <v>116.4</v>
      </c>
      <c r="I23" s="5">
        <f t="shared" si="7"/>
        <v>116.4</v>
      </c>
      <c r="J23" s="5">
        <f t="shared" si="7"/>
        <v>116.4</v>
      </c>
      <c r="K23" s="5">
        <f t="shared" si="7"/>
        <v>116.4</v>
      </c>
      <c r="L23" s="5">
        <f t="shared" si="7"/>
        <v>116.4</v>
      </c>
      <c r="M23" s="5">
        <f t="shared" si="7"/>
        <v>116.4</v>
      </c>
      <c r="N23" s="5">
        <f t="shared" si="7"/>
        <v>116.4</v>
      </c>
      <c r="O23" s="5">
        <f t="shared" si="8"/>
        <v>116.4</v>
      </c>
      <c r="P23" s="5">
        <f t="shared" si="8"/>
        <v>116.4</v>
      </c>
      <c r="Q23" s="5">
        <f t="shared" si="8"/>
        <v>116.4</v>
      </c>
      <c r="R23" s="5">
        <f t="shared" si="8"/>
        <v>116.4</v>
      </c>
      <c r="S23" s="5">
        <f t="shared" si="8"/>
        <v>116.4</v>
      </c>
      <c r="T23" s="5">
        <f t="shared" si="8"/>
        <v>116.4</v>
      </c>
      <c r="U23" s="5">
        <f t="shared" si="8"/>
        <v>116.4</v>
      </c>
      <c r="V23" s="5">
        <f t="shared" si="8"/>
        <v>116.4</v>
      </c>
      <c r="W23" s="5">
        <f t="shared" si="8"/>
        <v>116.4</v>
      </c>
      <c r="X23" s="5">
        <f t="shared" si="8"/>
        <v>116.4</v>
      </c>
      <c r="Y23" s="5">
        <f t="shared" si="8"/>
        <v>116.4</v>
      </c>
    </row>
    <row r="24" spans="1:27" x14ac:dyDescent="0.25">
      <c r="A24" s="9"/>
      <c r="B24" s="2" t="s">
        <v>5</v>
      </c>
      <c r="C24" s="2"/>
      <c r="D24" s="12"/>
      <c r="E24" s="5">
        <f t="shared" si="7"/>
        <v>102.1</v>
      </c>
      <c r="F24" s="5">
        <f t="shared" si="7"/>
        <v>102.1</v>
      </c>
      <c r="G24" s="5">
        <f t="shared" si="7"/>
        <v>102.1</v>
      </c>
      <c r="H24" s="5">
        <f t="shared" si="7"/>
        <v>102.1</v>
      </c>
      <c r="I24" s="5">
        <f t="shared" si="7"/>
        <v>102.1</v>
      </c>
      <c r="J24" s="5">
        <f t="shared" si="7"/>
        <v>102.1</v>
      </c>
      <c r="K24" s="5">
        <f t="shared" si="7"/>
        <v>102.1</v>
      </c>
      <c r="L24" s="5">
        <f t="shared" si="7"/>
        <v>102.1</v>
      </c>
      <c r="M24" s="5">
        <f t="shared" si="7"/>
        <v>102.1</v>
      </c>
      <c r="N24" s="5">
        <f t="shared" si="7"/>
        <v>102.1</v>
      </c>
      <c r="O24" s="5">
        <f t="shared" si="8"/>
        <v>102.1</v>
      </c>
      <c r="P24" s="5">
        <f t="shared" si="8"/>
        <v>102.1</v>
      </c>
      <c r="Q24" s="5">
        <f t="shared" si="8"/>
        <v>102.1</v>
      </c>
      <c r="R24" s="5">
        <f t="shared" si="8"/>
        <v>102.1</v>
      </c>
      <c r="S24" s="5">
        <f t="shared" si="8"/>
        <v>102.1</v>
      </c>
      <c r="T24" s="5">
        <f t="shared" si="8"/>
        <v>102.1</v>
      </c>
      <c r="U24" s="5">
        <f t="shared" si="8"/>
        <v>102.1</v>
      </c>
      <c r="V24" s="5">
        <f t="shared" si="8"/>
        <v>102.1</v>
      </c>
      <c r="W24" s="5">
        <f t="shared" si="8"/>
        <v>102.1</v>
      </c>
      <c r="X24" s="5">
        <f t="shared" si="8"/>
        <v>102.1</v>
      </c>
      <c r="Y24" s="5">
        <f t="shared" si="8"/>
        <v>102.1</v>
      </c>
    </row>
    <row r="25" spans="1:27" x14ac:dyDescent="0.25">
      <c r="A25" s="9"/>
      <c r="B25" s="2" t="s">
        <v>51</v>
      </c>
      <c r="C25" s="2"/>
      <c r="D25" s="12"/>
      <c r="E25" s="5">
        <f t="shared" si="7"/>
        <v>54</v>
      </c>
      <c r="F25" s="5">
        <f t="shared" si="7"/>
        <v>54</v>
      </c>
      <c r="G25" s="5">
        <f t="shared" si="7"/>
        <v>54</v>
      </c>
      <c r="H25" s="5">
        <f t="shared" si="7"/>
        <v>54</v>
      </c>
      <c r="I25" s="5">
        <f t="shared" si="7"/>
        <v>54</v>
      </c>
      <c r="J25" s="5">
        <f t="shared" si="7"/>
        <v>54</v>
      </c>
      <c r="K25" s="5">
        <f t="shared" si="7"/>
        <v>54</v>
      </c>
      <c r="L25" s="5">
        <f t="shared" si="7"/>
        <v>54</v>
      </c>
      <c r="M25" s="5">
        <f t="shared" si="7"/>
        <v>54</v>
      </c>
      <c r="N25" s="5">
        <f t="shared" si="7"/>
        <v>54</v>
      </c>
      <c r="O25" s="5">
        <f t="shared" si="8"/>
        <v>54</v>
      </c>
      <c r="P25" s="5">
        <f t="shared" si="8"/>
        <v>54</v>
      </c>
      <c r="Q25" s="5">
        <f t="shared" si="8"/>
        <v>54</v>
      </c>
      <c r="R25" s="5">
        <f t="shared" si="8"/>
        <v>54</v>
      </c>
      <c r="S25" s="5">
        <f t="shared" si="8"/>
        <v>54</v>
      </c>
      <c r="T25" s="5">
        <f t="shared" si="8"/>
        <v>54</v>
      </c>
      <c r="U25" s="5">
        <f t="shared" si="8"/>
        <v>54</v>
      </c>
      <c r="V25" s="5">
        <f t="shared" si="8"/>
        <v>54</v>
      </c>
      <c r="W25" s="5">
        <f t="shared" si="8"/>
        <v>54</v>
      </c>
      <c r="X25" s="5">
        <f t="shared" si="8"/>
        <v>54</v>
      </c>
      <c r="Y25" s="5">
        <f t="shared" si="8"/>
        <v>54</v>
      </c>
    </row>
    <row r="26" spans="1:27" x14ac:dyDescent="0.25">
      <c r="A26" s="9"/>
      <c r="B26" s="16" t="s">
        <v>149</v>
      </c>
      <c r="C26" s="20"/>
      <c r="D26" s="21"/>
      <c r="E26" s="19">
        <f>SUMPRODUCT(E8:E14,E19:E25)</f>
        <v>20861.136858499998</v>
      </c>
      <c r="F26" s="19">
        <f t="shared" ref="F26:Y26" si="9">SUMPRODUCT(F8:F14,F19:F25)</f>
        <v>0</v>
      </c>
      <c r="G26" s="19">
        <f t="shared" si="9"/>
        <v>0</v>
      </c>
      <c r="H26" s="19">
        <f t="shared" si="9"/>
        <v>13102.683393583333</v>
      </c>
      <c r="I26" s="19">
        <f t="shared" si="9"/>
        <v>0</v>
      </c>
      <c r="J26" s="19">
        <f t="shared" si="9"/>
        <v>0</v>
      </c>
      <c r="K26" s="19">
        <f t="shared" si="9"/>
        <v>13337.934032249997</v>
      </c>
      <c r="L26" s="19">
        <f t="shared" si="9"/>
        <v>0</v>
      </c>
      <c r="M26" s="19">
        <f t="shared" si="9"/>
        <v>0</v>
      </c>
      <c r="N26" s="19">
        <f t="shared" si="9"/>
        <v>11222.440340472222</v>
      </c>
      <c r="O26" s="19">
        <f t="shared" si="9"/>
        <v>0</v>
      </c>
      <c r="P26" s="19">
        <f t="shared" si="9"/>
        <v>0</v>
      </c>
      <c r="Q26" s="19">
        <f t="shared" si="9"/>
        <v>4765.5261514166668</v>
      </c>
      <c r="R26" s="19">
        <f t="shared" si="9"/>
        <v>0</v>
      </c>
      <c r="S26" s="19">
        <f t="shared" si="9"/>
        <v>0</v>
      </c>
      <c r="T26" s="19">
        <f t="shared" si="9"/>
        <v>5803.0793216111115</v>
      </c>
      <c r="U26" s="19">
        <f t="shared" si="9"/>
        <v>0</v>
      </c>
      <c r="V26" s="19">
        <f t="shared" si="9"/>
        <v>0</v>
      </c>
      <c r="W26" s="19">
        <f t="shared" si="9"/>
        <v>6115.5212174999997</v>
      </c>
      <c r="X26" s="19">
        <f t="shared" si="9"/>
        <v>0</v>
      </c>
      <c r="Y26" s="19">
        <f t="shared" si="9"/>
        <v>49151.38434348334</v>
      </c>
      <c r="AA26" s="76">
        <f>SUM(E26:Y26)</f>
        <v>124359.70565881666</v>
      </c>
    </row>
    <row r="27" spans="1:27" ht="12" hidden="1" x14ac:dyDescent="0.25">
      <c r="A27" s="9"/>
      <c r="B27" s="22"/>
      <c r="C27" s="9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7" x14ac:dyDescent="0.25">
      <c r="A28" s="9"/>
      <c r="B28" s="1" t="s">
        <v>60</v>
      </c>
      <c r="C28" s="2"/>
      <c r="D28" s="12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7" x14ac:dyDescent="0.25">
      <c r="A29" s="9"/>
      <c r="B29" s="10" t="s">
        <v>7</v>
      </c>
      <c r="C29" s="2"/>
      <c r="D29" s="26"/>
      <c r="E29" s="5">
        <f>E17*(Inputs!$J$10*Inputs!$I$5+Inputs!$J$11*(1-Inputs!$I$5))</f>
        <v>6020.3296008333327</v>
      </c>
      <c r="F29" s="5">
        <f>F17*(Inputs!$J$10*Inputs!$I$5+Inputs!$J$11*(1-Inputs!$I$5))</f>
        <v>0</v>
      </c>
      <c r="G29" s="5">
        <f>G17*(Inputs!$J$10*Inputs!$I$5+Inputs!$J$11*(1-Inputs!$I$5))</f>
        <v>0</v>
      </c>
      <c r="H29" s="5">
        <f>H17*(Inputs!$J$10*Inputs!$I$5+Inputs!$J$11*(1-Inputs!$I$5))</f>
        <v>3820.833391666667</v>
      </c>
      <c r="I29" s="5">
        <f>I17*(Inputs!$J$10*Inputs!$I$5+Inputs!$J$11*(1-Inputs!$I$5))</f>
        <v>0</v>
      </c>
      <c r="J29" s="5">
        <f>J17*(Inputs!$J$10*Inputs!$I$5+Inputs!$J$11*(1-Inputs!$I$5))</f>
        <v>0</v>
      </c>
      <c r="K29" s="5">
        <f>K17*(Inputs!$J$10*Inputs!$I$5+Inputs!$J$11*(1-Inputs!$I$5))</f>
        <v>3899.7537331666672</v>
      </c>
      <c r="L29" s="5">
        <f>L17*(Inputs!$J$10*Inputs!$I$5+Inputs!$J$11*(1-Inputs!$I$5))</f>
        <v>0</v>
      </c>
      <c r="M29" s="5">
        <f>M17*(Inputs!$J$10*Inputs!$I$5+Inputs!$J$11*(1-Inputs!$I$5))</f>
        <v>0</v>
      </c>
      <c r="N29" s="5">
        <f>N17*(Inputs!$J$10*Inputs!$I$5+Inputs!$J$11*(1-Inputs!$I$5))</f>
        <v>3128.2074436666662</v>
      </c>
      <c r="O29" s="5">
        <f>O17*(Inputs!$J$10*Inputs!$I$5+Inputs!$J$11*(1-Inputs!$I$5))</f>
        <v>0</v>
      </c>
      <c r="P29" s="5">
        <f>P17*(Inputs!$J$10*Inputs!$I$5+Inputs!$J$11*(1-Inputs!$I$5))</f>
        <v>0</v>
      </c>
      <c r="Q29" s="5">
        <f>Q17*(Inputs!$J$10*Inputs!$I$5+Inputs!$J$11*(1-Inputs!$I$5))</f>
        <v>1386.0581466666667</v>
      </c>
      <c r="R29" s="5">
        <f>R17*(Inputs!$J$10*Inputs!$I$5+Inputs!$J$11*(1-Inputs!$I$5))</f>
        <v>0</v>
      </c>
      <c r="S29" s="5">
        <f>S17*(Inputs!$J$10*Inputs!$I$5+Inputs!$J$11*(1-Inputs!$I$5))</f>
        <v>0</v>
      </c>
      <c r="T29" s="5">
        <f>T17*(Inputs!$J$10*Inputs!$I$5+Inputs!$J$11*(1-Inputs!$I$5))</f>
        <v>1754.3160600000006</v>
      </c>
      <c r="U29" s="5">
        <f>U17*(Inputs!$J$10*Inputs!$I$5+Inputs!$J$11*(1-Inputs!$I$5))</f>
        <v>0</v>
      </c>
      <c r="V29" s="5">
        <f>V17*(Inputs!$J$10*Inputs!$I$5+Inputs!$J$11*(1-Inputs!$I$5))</f>
        <v>0</v>
      </c>
      <c r="W29" s="5">
        <f>W17*(Inputs!$J$10*Inputs!$I$5+Inputs!$J$11*(1-Inputs!$I$5))</f>
        <v>1788.6041133333331</v>
      </c>
      <c r="X29" s="5">
        <f>X17*(Inputs!$J$10*Inputs!$I$5+Inputs!$J$11*(1-Inputs!$I$5))</f>
        <v>0</v>
      </c>
      <c r="Y29" s="5">
        <f>Y17*(Inputs!$J$10*Inputs!$I$5+Inputs!$J$11*(1-Inputs!$I$5))</f>
        <v>15006.323179049998</v>
      </c>
    </row>
    <row r="30" spans="1:27" x14ac:dyDescent="0.25">
      <c r="A30" s="9"/>
      <c r="B30" s="10" t="s">
        <v>8</v>
      </c>
      <c r="C30" s="2"/>
      <c r="D30" s="26"/>
      <c r="E30" s="5">
        <f>IF(E17=0,0,IF(SUM($D$30:D30)=0,Inputs!O10,0))</f>
        <v>3000</v>
      </c>
      <c r="F30" s="5">
        <f>IF(F17=0,0,IF(SUM($D$30:E30)=0,Inputs!P10,0))</f>
        <v>0</v>
      </c>
      <c r="G30" s="5">
        <f>IF(G17=0,0,IF(SUM($D$30:F30)=0,Inputs!Q10,0))</f>
        <v>0</v>
      </c>
      <c r="H30" s="5">
        <f>IF(H17=0,0,IF(SUM($D$30:G30)=0,Inputs!R10,0))</f>
        <v>0</v>
      </c>
      <c r="I30" s="5">
        <f>IF(I17=0,0,IF(SUM($D$30:H30)=0,Inputs!S10,0))</f>
        <v>0</v>
      </c>
      <c r="J30" s="5">
        <f>IF(J17=0,0,IF(SUM($D$30:I30)=0,Inputs!T10,0))</f>
        <v>0</v>
      </c>
      <c r="K30" s="5">
        <f>IF(K17=0,0,IF(SUM($D$30:J30)=0,Inputs!#REF!,0))</f>
        <v>0</v>
      </c>
      <c r="L30" s="5">
        <f>IF(L17=0,0,IF(SUM($D$30:K30)=0,Inputs!V10,0))</f>
        <v>0</v>
      </c>
      <c r="M30" s="5">
        <f>IF(M17=0,0,IF(SUM($D$30:L30)=0,Inputs!W10,0))</f>
        <v>0</v>
      </c>
      <c r="N30" s="5">
        <f>IF(N17=0,0,IF(SUM($D$30:M30)=0,Inputs!X10,0))</f>
        <v>0</v>
      </c>
      <c r="O30" s="5">
        <f>IF(O17=0,0,IF(SUM($D$30:N30)=0,Inputs!Y10,0))</f>
        <v>0</v>
      </c>
      <c r="P30" s="5">
        <f>IF(P17=0,0,IF(SUM($D$30:O30)=0,Inputs!Z10,0))</f>
        <v>0</v>
      </c>
      <c r="Q30" s="5">
        <f>IF(Q17=0,0,IF(SUM($D$30:P30)=0,Inputs!AA10,0))</f>
        <v>0</v>
      </c>
      <c r="R30" s="5">
        <f>IF(R17=0,0,IF(SUM($D$30:Q30)=0,Inputs!AB10,0))</f>
        <v>0</v>
      </c>
      <c r="S30" s="5">
        <f>IF(S17=0,0,IF(SUM($D$30:R30)=0,Inputs!AC10,0))</f>
        <v>0</v>
      </c>
      <c r="T30" s="5">
        <f>IF(T17=0,0,IF(SUM($D$30:S30)=0,Inputs!AD10,0))</f>
        <v>0</v>
      </c>
      <c r="U30" s="5">
        <f>IF(U17=0,0,IF(SUM($D$30:T30)=0,Inputs!AE10,0))</f>
        <v>0</v>
      </c>
      <c r="V30" s="5">
        <f>IF(V17=0,0,IF(SUM($D$30:U30)=0,Inputs!AF10,0))</f>
        <v>0</v>
      </c>
      <c r="W30" s="5">
        <f>IF(W17=0,0,IF(SUM($D$30:V30)=0,Inputs!AG10,0))</f>
        <v>0</v>
      </c>
      <c r="X30" s="5">
        <f>IF(X17=0,0,IF(SUM($D$30:W30)=0,Inputs!AH10,0))</f>
        <v>0</v>
      </c>
      <c r="Y30" s="5">
        <f>IF(Y17=0,0,IF(SUM($D$30:X30)=0,Inputs!AI10,0))</f>
        <v>0</v>
      </c>
    </row>
    <row r="31" spans="1:27" x14ac:dyDescent="0.25">
      <c r="A31" s="9"/>
      <c r="B31" s="10" t="s">
        <v>61</v>
      </c>
      <c r="C31" s="2"/>
      <c r="D31" s="26"/>
      <c r="E31" s="5">
        <f>E17*Inputs!$O$11</f>
        <v>143.34118097222222</v>
      </c>
      <c r="F31" s="5">
        <f>F17*Inputs!$O$11</f>
        <v>0</v>
      </c>
      <c r="G31" s="5">
        <f>G17*Inputs!$O$11</f>
        <v>0</v>
      </c>
      <c r="H31" s="5">
        <f>H17*Inputs!$O$11</f>
        <v>90.972223611111119</v>
      </c>
      <c r="I31" s="5">
        <f>I17*Inputs!$O$11</f>
        <v>0</v>
      </c>
      <c r="J31" s="5">
        <f>J17*Inputs!$O$11</f>
        <v>0</v>
      </c>
      <c r="K31" s="5">
        <f>K17*Inputs!$O$11</f>
        <v>92.851279361111125</v>
      </c>
      <c r="L31" s="5">
        <f>L17*Inputs!$O$11</f>
        <v>0</v>
      </c>
      <c r="M31" s="5">
        <f>M17*Inputs!$O$11</f>
        <v>0</v>
      </c>
      <c r="N31" s="5">
        <f>N17*Inputs!$O$11</f>
        <v>74.481129611111101</v>
      </c>
      <c r="O31" s="5">
        <f>O17*Inputs!$O$11</f>
        <v>0</v>
      </c>
      <c r="P31" s="5">
        <f>P17*Inputs!$O$11</f>
        <v>0</v>
      </c>
      <c r="Q31" s="5">
        <f>Q17*Inputs!$O$11</f>
        <v>33.001384444444447</v>
      </c>
      <c r="R31" s="5">
        <f>R17*Inputs!$O$11</f>
        <v>0</v>
      </c>
      <c r="S31" s="5">
        <f>S17*Inputs!$O$11</f>
        <v>0</v>
      </c>
      <c r="T31" s="5">
        <f>T17*Inputs!$O$11</f>
        <v>41.769430000000014</v>
      </c>
      <c r="U31" s="5">
        <f>U17*Inputs!$O$11</f>
        <v>0</v>
      </c>
      <c r="V31" s="5">
        <f>V17*Inputs!$O$11</f>
        <v>0</v>
      </c>
      <c r="W31" s="5">
        <f>W17*Inputs!$O$11</f>
        <v>42.585812222222216</v>
      </c>
      <c r="X31" s="5">
        <f>X17*Inputs!$O$11</f>
        <v>0</v>
      </c>
      <c r="Y31" s="5">
        <f>Y17*Inputs!$O$11</f>
        <v>357.29340902499996</v>
      </c>
    </row>
    <row r="32" spans="1:27" x14ac:dyDescent="0.25">
      <c r="A32" s="9"/>
      <c r="B32" s="10" t="s">
        <v>9</v>
      </c>
      <c r="C32" s="2"/>
      <c r="D32" s="26"/>
      <c r="E32" s="5">
        <f>Inputs!$J$12*Cashflow_TDH!E17</f>
        <v>1146.7294477777778</v>
      </c>
      <c r="F32" s="5">
        <f>Inputs!$J$12*Cashflow_TDH!F17</f>
        <v>0</v>
      </c>
      <c r="G32" s="5">
        <f>Inputs!$J$12*Cashflow_TDH!G17</f>
        <v>0</v>
      </c>
      <c r="H32" s="5">
        <f>Inputs!$J$12*Cashflow_TDH!H17</f>
        <v>727.77778888888895</v>
      </c>
      <c r="I32" s="5">
        <f>Inputs!$J$12*Cashflow_TDH!I17</f>
        <v>0</v>
      </c>
      <c r="J32" s="5">
        <f>Inputs!$J$12*Cashflow_TDH!J17</f>
        <v>0</v>
      </c>
      <c r="K32" s="5">
        <f>Inputs!$J$12*Cashflow_TDH!K17</f>
        <v>742.810234888889</v>
      </c>
      <c r="L32" s="5">
        <f>Inputs!$J$12*Cashflow_TDH!L17</f>
        <v>0</v>
      </c>
      <c r="M32" s="5">
        <f>Inputs!$J$12*Cashflow_TDH!M17</f>
        <v>0</v>
      </c>
      <c r="N32" s="5">
        <f>Inputs!$J$12*Cashflow_TDH!N17</f>
        <v>595.8490368888888</v>
      </c>
      <c r="O32" s="5">
        <f>Inputs!$J$12*Cashflow_TDH!O17</f>
        <v>0</v>
      </c>
      <c r="P32" s="5">
        <f>Inputs!$J$12*Cashflow_TDH!P17</f>
        <v>0</v>
      </c>
      <c r="Q32" s="5">
        <f>Inputs!$J$12*Cashflow_TDH!Q17</f>
        <v>264.01107555555558</v>
      </c>
      <c r="R32" s="5">
        <f>Inputs!$J$12*Cashflow_TDH!R17</f>
        <v>0</v>
      </c>
      <c r="S32" s="5">
        <f>Inputs!$J$12*Cashflow_TDH!S17</f>
        <v>0</v>
      </c>
      <c r="T32" s="5">
        <f>Inputs!$J$12*Cashflow_TDH!T17</f>
        <v>334.15544000000011</v>
      </c>
      <c r="U32" s="5">
        <f>Inputs!$J$12*Cashflow_TDH!U17</f>
        <v>0</v>
      </c>
      <c r="V32" s="5">
        <f>Inputs!$J$12*Cashflow_TDH!V17</f>
        <v>0</v>
      </c>
      <c r="W32" s="5">
        <f>Inputs!$J$12*Cashflow_TDH!W17</f>
        <v>340.68649777777773</v>
      </c>
      <c r="X32" s="5">
        <f>Inputs!$J$12*Cashflow_TDH!X17</f>
        <v>0</v>
      </c>
      <c r="Y32" s="5">
        <f>Inputs!$J$12*Cashflow_TDH!Y17</f>
        <v>2858.3472721999997</v>
      </c>
    </row>
    <row r="33" spans="1:27" x14ac:dyDescent="0.25">
      <c r="A33" s="9"/>
      <c r="B33" s="10" t="s">
        <v>10</v>
      </c>
      <c r="C33" s="2"/>
      <c r="D33" s="26"/>
      <c r="E33" s="5">
        <f>Inputs!$J$13*Cashflow_TDH!E17</f>
        <v>0</v>
      </c>
      <c r="F33" s="5">
        <f>Inputs!$J$13*Cashflow_TDH!F17</f>
        <v>0</v>
      </c>
      <c r="G33" s="5">
        <f>Inputs!$J$13*Cashflow_TDH!G17</f>
        <v>0</v>
      </c>
      <c r="H33" s="5">
        <f>Inputs!$J$13*Cashflow_TDH!H17</f>
        <v>0</v>
      </c>
      <c r="I33" s="5">
        <f>Inputs!$J$13*Cashflow_TDH!I17</f>
        <v>0</v>
      </c>
      <c r="J33" s="5">
        <f>Inputs!$J$13*Cashflow_TDH!J17</f>
        <v>0</v>
      </c>
      <c r="K33" s="5">
        <f>Inputs!$J$13*Cashflow_TDH!K17</f>
        <v>0</v>
      </c>
      <c r="L33" s="5">
        <f>Inputs!$J$13*Cashflow_TDH!L17</f>
        <v>0</v>
      </c>
      <c r="M33" s="5">
        <f>Inputs!$J$13*Cashflow_TDH!M17</f>
        <v>0</v>
      </c>
      <c r="N33" s="5">
        <f>Inputs!$J$13*Cashflow_TDH!N17</f>
        <v>0</v>
      </c>
      <c r="O33" s="5">
        <f>Inputs!$J$13*Cashflow_TDH!O17</f>
        <v>0</v>
      </c>
      <c r="P33" s="5">
        <f>Inputs!$J$13*Cashflow_TDH!P17</f>
        <v>0</v>
      </c>
      <c r="Q33" s="5">
        <f>Inputs!$J$13*Cashflow_TDH!Q17</f>
        <v>0</v>
      </c>
      <c r="R33" s="5">
        <f>Inputs!$J$13*Cashflow_TDH!R17</f>
        <v>0</v>
      </c>
      <c r="S33" s="5">
        <f>Inputs!$J$13*Cashflow_TDH!S17</f>
        <v>0</v>
      </c>
      <c r="T33" s="5">
        <f>Inputs!$J$13*Cashflow_TDH!T17</f>
        <v>0</v>
      </c>
      <c r="U33" s="5">
        <f>Inputs!$J$13*Cashflow_TDH!U17</f>
        <v>0</v>
      </c>
      <c r="V33" s="5">
        <f>Inputs!$J$13*Cashflow_TDH!V17</f>
        <v>0</v>
      </c>
      <c r="W33" s="5">
        <f>Inputs!$J$13*Cashflow_TDH!W17</f>
        <v>0</v>
      </c>
      <c r="X33" s="5">
        <f>Inputs!$J$13*Cashflow_TDH!X17</f>
        <v>0</v>
      </c>
      <c r="Y33" s="5">
        <f>Inputs!$J$13*Cashflow_TDH!Y17</f>
        <v>0</v>
      </c>
    </row>
    <row r="34" spans="1:27" x14ac:dyDescent="0.25">
      <c r="A34" s="9"/>
      <c r="B34" s="10" t="s">
        <v>11</v>
      </c>
      <c r="C34" s="2" t="s">
        <v>67</v>
      </c>
      <c r="D34" s="26"/>
      <c r="E34" s="5">
        <f>SUM(E8:E13)*(Inputs!$J$14+Inputs!$J$15*VLOOKUP($C$4,StandInfo,9,FALSE))</f>
        <v>4285.1944927458335</v>
      </c>
      <c r="F34" s="5">
        <f>SUM(F8:F13)*(Inputs!$J$14+Inputs!$J$15*VLOOKUP($C$4,StandInfo,9,FALSE))</f>
        <v>0</v>
      </c>
      <c r="G34" s="5">
        <f>SUM(G8:G13)*(Inputs!$J$14+Inputs!$J$15*VLOOKUP($C$4,StandInfo,9,FALSE))</f>
        <v>0</v>
      </c>
      <c r="H34" s="5">
        <f>SUM(H8:H13)*(Inputs!$J$14+Inputs!$J$15*VLOOKUP($C$4,StandInfo,9,FALSE))</f>
        <v>2745.8146252541669</v>
      </c>
      <c r="I34" s="5">
        <f>SUM(I8:I13)*(Inputs!$J$14+Inputs!$J$15*VLOOKUP($C$4,StandInfo,9,FALSE))</f>
        <v>0</v>
      </c>
      <c r="J34" s="5">
        <f>SUM(J8:J13)*(Inputs!$J$14+Inputs!$J$15*VLOOKUP($C$4,StandInfo,9,FALSE))</f>
        <v>0</v>
      </c>
      <c r="K34" s="5">
        <f>SUM(K8:K13)*(Inputs!$J$14+Inputs!$J$15*VLOOKUP($C$4,StandInfo,9,FALSE))</f>
        <v>2730.2306979933337</v>
      </c>
      <c r="L34" s="5">
        <f>SUM(L8:L13)*(Inputs!$J$14+Inputs!$J$15*VLOOKUP($C$4,StandInfo,9,FALSE))</f>
        <v>0</v>
      </c>
      <c r="M34" s="5">
        <f>SUM(M8:M13)*(Inputs!$J$14+Inputs!$J$15*VLOOKUP($C$4,StandInfo,9,FALSE))</f>
        <v>0</v>
      </c>
      <c r="N34" s="5">
        <f>SUM(N8:N13)*(Inputs!$J$14+Inputs!$J$15*VLOOKUP($C$4,StandInfo,9,FALSE))</f>
        <v>2242.1162860299996</v>
      </c>
      <c r="O34" s="5">
        <f>SUM(O8:O13)*(Inputs!$J$14+Inputs!$J$15*VLOOKUP($C$4,StandInfo,9,FALSE))</f>
        <v>0</v>
      </c>
      <c r="P34" s="5">
        <f>SUM(P8:P13)*(Inputs!$J$14+Inputs!$J$15*VLOOKUP($C$4,StandInfo,9,FALSE))</f>
        <v>0</v>
      </c>
      <c r="Q34" s="5">
        <f>SUM(Q8:Q13)*(Inputs!$J$14+Inputs!$J$15*VLOOKUP($C$4,StandInfo,9,FALSE))</f>
        <v>996.08078668666678</v>
      </c>
      <c r="R34" s="5">
        <f>SUM(R8:R13)*(Inputs!$J$14+Inputs!$J$15*VLOOKUP($C$4,StandInfo,9,FALSE))</f>
        <v>0</v>
      </c>
      <c r="S34" s="5">
        <f>SUM(S8:S13)*(Inputs!$J$14+Inputs!$J$15*VLOOKUP($C$4,StandInfo,9,FALSE))</f>
        <v>0</v>
      </c>
      <c r="T34" s="5">
        <f>SUM(T8:T13)*(Inputs!$J$14+Inputs!$J$15*VLOOKUP($C$4,StandInfo,9,FALSE))</f>
        <v>1232.4717957300004</v>
      </c>
      <c r="U34" s="5">
        <f>SUM(U8:U13)*(Inputs!$J$14+Inputs!$J$15*VLOOKUP($C$4,StandInfo,9,FALSE))</f>
        <v>0</v>
      </c>
      <c r="V34" s="5">
        <f>SUM(V8:V13)*(Inputs!$J$14+Inputs!$J$15*VLOOKUP($C$4,StandInfo,9,FALSE))</f>
        <v>0</v>
      </c>
      <c r="W34" s="5">
        <f>SUM(W8:W13)*(Inputs!$J$14+Inputs!$J$15*VLOOKUP($C$4,StandInfo,9,FALSE))</f>
        <v>1245.8014804833331</v>
      </c>
      <c r="X34" s="5">
        <f>SUM(X8:X13)*(Inputs!$J$14+Inputs!$J$15*VLOOKUP($C$4,StandInfo,9,FALSE))</f>
        <v>0</v>
      </c>
      <c r="Y34" s="5">
        <f>SUM(Y8:Y13)*(Inputs!$J$14+Inputs!$J$15*VLOOKUP($C$4,StandInfo,9,FALSE))</f>
        <v>10510.064825796373</v>
      </c>
    </row>
    <row r="35" spans="1:27" ht="12" hidden="1" x14ac:dyDescent="0.25">
      <c r="A35" s="9"/>
      <c r="B35" s="10"/>
      <c r="C35" s="2" t="s">
        <v>68</v>
      </c>
      <c r="D35" s="26"/>
    </row>
    <row r="36" spans="1:27" x14ac:dyDescent="0.25">
      <c r="A36" s="9"/>
      <c r="B36" s="10"/>
      <c r="C36" s="2" t="s">
        <v>51</v>
      </c>
      <c r="D36" s="26"/>
      <c r="E36" s="5">
        <f>E14*(Inputs!$J$14+Inputs!$J$15*VLOOKUP(Cashflow_TDH!$C$4,StandInfo,11,FALSE))</f>
        <v>21.611829439583335</v>
      </c>
      <c r="F36" s="5">
        <f>F14*(Inputs!$J$14+Inputs!$J$15*VLOOKUP(Cashflow_TDH!$C$4,StandInfo,11,FALSE))</f>
        <v>0</v>
      </c>
      <c r="G36" s="5">
        <f>G14*(Inputs!$J$14+Inputs!$J$15*VLOOKUP(Cashflow_TDH!$C$4,StandInfo,11,FALSE))</f>
        <v>0</v>
      </c>
      <c r="H36" s="5">
        <f>H14*(Inputs!$J$14+Inputs!$J$15*VLOOKUP(Cashflow_TDH!$C$4,StandInfo,11,FALSE))</f>
        <v>0</v>
      </c>
      <c r="I36" s="5">
        <f>I14*(Inputs!$J$14+Inputs!$J$15*VLOOKUP(Cashflow_TDH!$C$4,StandInfo,11,FALSE))</f>
        <v>0</v>
      </c>
      <c r="J36" s="5">
        <f>J14*(Inputs!$J$14+Inputs!$J$15*VLOOKUP(Cashflow_TDH!$C$4,StandInfo,11,FALSE))</f>
        <v>0</v>
      </c>
      <c r="K36" s="5">
        <f>K14*(Inputs!$J$14+Inputs!$J$15*VLOOKUP(Cashflow_TDH!$C$4,StandInfo,11,FALSE))</f>
        <v>37.858830313472225</v>
      </c>
      <c r="L36" s="5">
        <f>L14*(Inputs!$J$14+Inputs!$J$15*VLOOKUP(Cashflow_TDH!$C$4,StandInfo,11,FALSE))</f>
        <v>0</v>
      </c>
      <c r="M36" s="5">
        <f>M14*(Inputs!$J$14+Inputs!$J$15*VLOOKUP(Cashflow_TDH!$C$4,StandInfo,11,FALSE))</f>
        <v>0</v>
      </c>
      <c r="N36" s="5">
        <f>N14*(Inputs!$J$14+Inputs!$J$15*VLOOKUP(Cashflow_TDH!$C$4,StandInfo,11,FALSE))</f>
        <v>3.1144217869444444</v>
      </c>
      <c r="O36" s="5">
        <f>O14*(Inputs!$J$14+Inputs!$J$15*VLOOKUP(Cashflow_TDH!$C$4,StandInfo,11,FALSE))</f>
        <v>0</v>
      </c>
      <c r="P36" s="5">
        <f>P14*(Inputs!$J$14+Inputs!$J$15*VLOOKUP(Cashflow_TDH!$C$4,StandInfo,11,FALSE))</f>
        <v>0</v>
      </c>
      <c r="Q36" s="5">
        <f>Q14*(Inputs!$J$14+Inputs!$J$15*VLOOKUP(Cashflow_TDH!$C$4,StandInfo,11,FALSE))</f>
        <v>0</v>
      </c>
      <c r="R36" s="5">
        <f>R14*(Inputs!$J$14+Inputs!$J$15*VLOOKUP(Cashflow_TDH!$C$4,StandInfo,11,FALSE))</f>
        <v>0</v>
      </c>
      <c r="S36" s="5">
        <f>S14*(Inputs!$J$14+Inputs!$J$15*VLOOKUP(Cashflow_TDH!$C$4,StandInfo,11,FALSE))</f>
        <v>0</v>
      </c>
      <c r="T36" s="5">
        <f>T14*(Inputs!$J$14+Inputs!$J$15*VLOOKUP(Cashflow_TDH!$C$4,StandInfo,11,FALSE))</f>
        <v>14.795376600000001</v>
      </c>
      <c r="U36" s="5">
        <f>U14*(Inputs!$J$14+Inputs!$J$15*VLOOKUP(Cashflow_TDH!$C$4,StandInfo,11,FALSE))</f>
        <v>0</v>
      </c>
      <c r="V36" s="5">
        <f>V14*(Inputs!$J$14+Inputs!$J$15*VLOOKUP(Cashflow_TDH!$C$4,StandInfo,11,FALSE))</f>
        <v>0</v>
      </c>
      <c r="W36" s="5">
        <f>W14*(Inputs!$J$14+Inputs!$J$15*VLOOKUP(Cashflow_TDH!$C$4,StandInfo,11,FALSE))</f>
        <v>20.718353033333333</v>
      </c>
      <c r="X36" s="5">
        <f>X14*(Inputs!$J$14+Inputs!$J$15*VLOOKUP(Cashflow_TDH!$C$4,StandInfo,11,FALSE))</f>
        <v>0</v>
      </c>
      <c r="Y36" s="5">
        <f>Y14*(Inputs!$J$14+Inputs!$J$15*VLOOKUP(Cashflow_TDH!$C$4,StandInfo,11,FALSE))</f>
        <v>143.54107954200001</v>
      </c>
    </row>
    <row r="37" spans="1:27" x14ac:dyDescent="0.25">
      <c r="A37" s="9"/>
      <c r="B37" s="16" t="s">
        <v>71</v>
      </c>
      <c r="C37" s="20"/>
      <c r="D37" s="21"/>
      <c r="E37" s="19">
        <f>SUM(E29:E36)</f>
        <v>14617.20655176875</v>
      </c>
      <c r="F37" s="19">
        <f t="shared" ref="F37:X37" si="10">SUM(F29:F36)</f>
        <v>0</v>
      </c>
      <c r="G37" s="19">
        <f t="shared" si="10"/>
        <v>0</v>
      </c>
      <c r="H37" s="19">
        <f t="shared" si="10"/>
        <v>7385.3980294208341</v>
      </c>
      <c r="I37" s="19">
        <f t="shared" si="10"/>
        <v>0</v>
      </c>
      <c r="J37" s="19">
        <f t="shared" si="10"/>
        <v>0</v>
      </c>
      <c r="K37" s="19">
        <f t="shared" si="10"/>
        <v>7503.5047757234734</v>
      </c>
      <c r="L37" s="19">
        <f t="shared" si="10"/>
        <v>0</v>
      </c>
      <c r="M37" s="19">
        <f t="shared" si="10"/>
        <v>0</v>
      </c>
      <c r="N37" s="19">
        <f t="shared" si="10"/>
        <v>6043.7683179836094</v>
      </c>
      <c r="O37" s="19">
        <f t="shared" si="10"/>
        <v>0</v>
      </c>
      <c r="P37" s="19">
        <f t="shared" si="10"/>
        <v>0</v>
      </c>
      <c r="Q37" s="19">
        <f t="shared" si="10"/>
        <v>2679.1513933533338</v>
      </c>
      <c r="R37" s="19">
        <f t="shared" si="10"/>
        <v>0</v>
      </c>
      <c r="S37" s="19">
        <f t="shared" si="10"/>
        <v>0</v>
      </c>
      <c r="T37" s="19">
        <f t="shared" si="10"/>
        <v>3377.5081023300013</v>
      </c>
      <c r="U37" s="19">
        <f t="shared" si="10"/>
        <v>0</v>
      </c>
      <c r="V37" s="19">
        <f t="shared" si="10"/>
        <v>0</v>
      </c>
      <c r="W37" s="19">
        <f t="shared" si="10"/>
        <v>3438.3962568499992</v>
      </c>
      <c r="X37" s="19">
        <f t="shared" si="10"/>
        <v>0</v>
      </c>
      <c r="Y37" s="19">
        <f t="shared" ref="Y37" si="11">SUM(Y29:Y36)</f>
        <v>28875.569765613371</v>
      </c>
      <c r="AA37" s="76">
        <f>SUM(E37:Y37)</f>
        <v>73920.503193043376</v>
      </c>
    </row>
    <row r="38" spans="1:27" x14ac:dyDescent="0.25">
      <c r="A38" s="9"/>
      <c r="B38" s="10" t="s">
        <v>12</v>
      </c>
      <c r="C38" s="9"/>
      <c r="D38" s="23"/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</row>
    <row r="39" spans="1:27" x14ac:dyDescent="0.25">
      <c r="A39" s="9"/>
      <c r="B39" s="16" t="s">
        <v>13</v>
      </c>
      <c r="C39" s="20"/>
      <c r="D39" s="21"/>
      <c r="E39" s="19">
        <f>(E26-E37)*(1-E38)</f>
        <v>6243.9303067312485</v>
      </c>
      <c r="F39" s="19">
        <f t="shared" ref="F39:Y39" si="12">(F26-F37)*(1-F38)</f>
        <v>0</v>
      </c>
      <c r="G39" s="19">
        <f t="shared" si="12"/>
        <v>0</v>
      </c>
      <c r="H39" s="19">
        <f t="shared" si="12"/>
        <v>5717.2853641624988</v>
      </c>
      <c r="I39" s="19">
        <f t="shared" si="12"/>
        <v>0</v>
      </c>
      <c r="J39" s="19">
        <f t="shared" si="12"/>
        <v>0</v>
      </c>
      <c r="K39" s="19">
        <f t="shared" si="12"/>
        <v>5834.4292565265241</v>
      </c>
      <c r="L39" s="19">
        <f t="shared" si="12"/>
        <v>0</v>
      </c>
      <c r="M39" s="19">
        <f t="shared" si="12"/>
        <v>0</v>
      </c>
      <c r="N39" s="19">
        <f t="shared" si="12"/>
        <v>5178.6720224886121</v>
      </c>
      <c r="O39" s="19">
        <f t="shared" si="12"/>
        <v>0</v>
      </c>
      <c r="P39" s="19">
        <f t="shared" si="12"/>
        <v>0</v>
      </c>
      <c r="Q39" s="19">
        <f t="shared" si="12"/>
        <v>2086.374758063333</v>
      </c>
      <c r="R39" s="19">
        <f t="shared" si="12"/>
        <v>0</v>
      </c>
      <c r="S39" s="19">
        <f t="shared" si="12"/>
        <v>0</v>
      </c>
      <c r="T39" s="19">
        <f t="shared" si="12"/>
        <v>2425.5712192811102</v>
      </c>
      <c r="U39" s="19">
        <f t="shared" si="12"/>
        <v>0</v>
      </c>
      <c r="V39" s="19">
        <f t="shared" si="12"/>
        <v>0</v>
      </c>
      <c r="W39" s="19">
        <f t="shared" si="12"/>
        <v>2677.1249606500005</v>
      </c>
      <c r="X39" s="19">
        <f t="shared" si="12"/>
        <v>0</v>
      </c>
      <c r="Y39" s="19">
        <f t="shared" si="12"/>
        <v>20275.814577869969</v>
      </c>
      <c r="AA39" s="76">
        <f>SUM(E39:Y39)</f>
        <v>50439.202465773298</v>
      </c>
    </row>
    <row r="40" spans="1:27" ht="12" hidden="1" x14ac:dyDescent="0.25">
      <c r="A40" s="9"/>
      <c r="B40" s="9"/>
      <c r="C40" s="9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7" ht="12" hidden="1" x14ac:dyDescent="0.25">
      <c r="A41" s="9"/>
      <c r="B41" s="1" t="s">
        <v>14</v>
      </c>
      <c r="C41" s="2"/>
      <c r="D41" s="12"/>
      <c r="E41" s="2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7" ht="12" hidden="1" x14ac:dyDescent="0.25">
      <c r="A42" s="9"/>
      <c r="B42" s="10" t="s">
        <v>15</v>
      </c>
      <c r="C42" s="2"/>
      <c r="D42" s="12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7" ht="12" hidden="1" x14ac:dyDescent="0.25">
      <c r="A43" s="2"/>
      <c r="B43" s="10" t="s">
        <v>16</v>
      </c>
      <c r="C43" s="2"/>
      <c r="D43" s="2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7" ht="12" hidden="1" x14ac:dyDescent="0.25">
      <c r="A44" s="2"/>
      <c r="B44" s="10" t="s">
        <v>17</v>
      </c>
      <c r="C44" s="2"/>
      <c r="D44" s="29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7" ht="12" hidden="1" x14ac:dyDescent="0.25">
      <c r="A45" s="2"/>
      <c r="B45" s="10" t="s">
        <v>18</v>
      </c>
      <c r="C45" s="2"/>
      <c r="D45" s="29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7" ht="12" hidden="1" x14ac:dyDescent="0.25">
      <c r="A46" s="2"/>
      <c r="B46" s="10"/>
      <c r="C46" s="2"/>
      <c r="D46" s="29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7" ht="12" hidden="1" x14ac:dyDescent="0.25">
      <c r="A47" s="9"/>
      <c r="B47" s="1" t="s">
        <v>19</v>
      </c>
      <c r="C47" s="2"/>
      <c r="D47" s="30"/>
      <c r="E47" s="25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7" ht="12" hidden="1" x14ac:dyDescent="0.25">
      <c r="A48" s="9"/>
      <c r="B48" s="10" t="s">
        <v>20</v>
      </c>
      <c r="C48" s="2"/>
      <c r="D48" s="12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12" hidden="1" x14ac:dyDescent="0.25">
      <c r="A49" s="9"/>
      <c r="B49" s="10" t="s">
        <v>21</v>
      </c>
      <c r="C49" s="2"/>
      <c r="D49" s="12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12" hidden="1" x14ac:dyDescent="0.25">
      <c r="A50" s="9"/>
      <c r="B50" s="10" t="s">
        <v>22</v>
      </c>
      <c r="C50" s="2"/>
      <c r="D50" s="12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12" hidden="1" x14ac:dyDescent="0.25">
      <c r="A51" s="9"/>
      <c r="B51" s="10" t="s">
        <v>23</v>
      </c>
      <c r="C51" s="2"/>
      <c r="D51" s="12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2" hidden="1" x14ac:dyDescent="0.25">
      <c r="A52" s="9"/>
      <c r="B52" s="10" t="s">
        <v>24</v>
      </c>
      <c r="C52" s="2"/>
      <c r="D52" s="12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5" ht="12" hidden="1" x14ac:dyDescent="0.25">
      <c r="A53" s="9"/>
      <c r="B53" s="10" t="s">
        <v>25</v>
      </c>
      <c r="C53" s="2"/>
      <c r="D53" s="12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5" ht="12" hidden="1" x14ac:dyDescent="0.25">
      <c r="A54" s="9"/>
      <c r="B54" s="10" t="s">
        <v>26</v>
      </c>
      <c r="C54" s="2"/>
      <c r="D54" s="12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:25" ht="12" hidden="1" x14ac:dyDescent="0.25">
      <c r="A55" s="9"/>
      <c r="B55" s="16" t="s">
        <v>27</v>
      </c>
      <c r="C55" s="20"/>
      <c r="D55" s="21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" hidden="1" x14ac:dyDescent="0.25">
      <c r="A56" s="9"/>
      <c r="B56" s="22"/>
      <c r="C56" s="9"/>
      <c r="D56" s="23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x14ac:dyDescent="0.25">
      <c r="A57" s="9"/>
      <c r="B57" s="1" t="s">
        <v>28</v>
      </c>
      <c r="C57" s="2"/>
      <c r="D57" s="30"/>
      <c r="E57" s="25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25" x14ac:dyDescent="0.25">
      <c r="A58" s="32"/>
      <c r="B58" s="3" t="s">
        <v>29</v>
      </c>
      <c r="C58" s="3"/>
      <c r="D58" s="3"/>
      <c r="E58" s="5">
        <f t="shared" ref="E58:X58" si="13">AnnualCost</f>
        <v>87</v>
      </c>
      <c r="F58" s="5">
        <f t="shared" si="13"/>
        <v>87</v>
      </c>
      <c r="G58" s="5">
        <f t="shared" si="13"/>
        <v>87</v>
      </c>
      <c r="H58" s="5">
        <f t="shared" si="13"/>
        <v>87</v>
      </c>
      <c r="I58" s="5">
        <f t="shared" si="13"/>
        <v>87</v>
      </c>
      <c r="J58" s="5">
        <f t="shared" si="13"/>
        <v>87</v>
      </c>
      <c r="K58" s="5">
        <f t="shared" si="13"/>
        <v>87</v>
      </c>
      <c r="L58" s="5">
        <f t="shared" si="13"/>
        <v>87</v>
      </c>
      <c r="M58" s="5">
        <f t="shared" si="13"/>
        <v>87</v>
      </c>
      <c r="N58" s="5">
        <f t="shared" si="13"/>
        <v>87</v>
      </c>
      <c r="O58" s="5">
        <f t="shared" si="13"/>
        <v>87</v>
      </c>
      <c r="P58" s="5">
        <f t="shared" si="13"/>
        <v>87</v>
      </c>
      <c r="Q58" s="5">
        <f t="shared" si="13"/>
        <v>87</v>
      </c>
      <c r="R58" s="5">
        <f t="shared" si="13"/>
        <v>87</v>
      </c>
      <c r="S58" s="5">
        <f t="shared" si="13"/>
        <v>87</v>
      </c>
      <c r="T58" s="5">
        <f t="shared" si="13"/>
        <v>87</v>
      </c>
      <c r="U58" s="5">
        <f t="shared" si="13"/>
        <v>87</v>
      </c>
      <c r="V58" s="5">
        <f t="shared" si="13"/>
        <v>87</v>
      </c>
      <c r="W58" s="5">
        <f t="shared" si="13"/>
        <v>87</v>
      </c>
      <c r="X58" s="5">
        <f t="shared" si="13"/>
        <v>87</v>
      </c>
      <c r="Y58" s="5">
        <v>0</v>
      </c>
    </row>
    <row r="59" spans="1:25" x14ac:dyDescent="0.25">
      <c r="A59" s="32"/>
      <c r="B59" s="3" t="s">
        <v>30</v>
      </c>
      <c r="C59" s="3"/>
      <c r="D59" s="3"/>
      <c r="E59" s="5">
        <f t="shared" ref="E59:X59" si="14">Rates</f>
        <v>10</v>
      </c>
      <c r="F59" s="5">
        <f t="shared" si="14"/>
        <v>10</v>
      </c>
      <c r="G59" s="5">
        <f t="shared" si="14"/>
        <v>10</v>
      </c>
      <c r="H59" s="5">
        <f t="shared" si="14"/>
        <v>10</v>
      </c>
      <c r="I59" s="5">
        <f t="shared" si="14"/>
        <v>10</v>
      </c>
      <c r="J59" s="5">
        <f t="shared" si="14"/>
        <v>10</v>
      </c>
      <c r="K59" s="5">
        <f t="shared" si="14"/>
        <v>10</v>
      </c>
      <c r="L59" s="5">
        <f t="shared" si="14"/>
        <v>10</v>
      </c>
      <c r="M59" s="5">
        <f t="shared" si="14"/>
        <v>10</v>
      </c>
      <c r="N59" s="5">
        <f t="shared" si="14"/>
        <v>10</v>
      </c>
      <c r="O59" s="5">
        <f t="shared" si="14"/>
        <v>10</v>
      </c>
      <c r="P59" s="5">
        <f t="shared" si="14"/>
        <v>10</v>
      </c>
      <c r="Q59" s="5">
        <f t="shared" si="14"/>
        <v>10</v>
      </c>
      <c r="R59" s="5">
        <f t="shared" si="14"/>
        <v>10</v>
      </c>
      <c r="S59" s="5">
        <f t="shared" si="14"/>
        <v>10</v>
      </c>
      <c r="T59" s="5">
        <f t="shared" si="14"/>
        <v>10</v>
      </c>
      <c r="U59" s="5">
        <f t="shared" si="14"/>
        <v>10</v>
      </c>
      <c r="V59" s="5">
        <f t="shared" si="14"/>
        <v>10</v>
      </c>
      <c r="W59" s="5">
        <f t="shared" si="14"/>
        <v>10</v>
      </c>
      <c r="X59" s="5">
        <f t="shared" si="14"/>
        <v>10</v>
      </c>
      <c r="Y59" s="5">
        <v>0</v>
      </c>
    </row>
    <row r="60" spans="1:25" x14ac:dyDescent="0.25">
      <c r="A60" s="32"/>
      <c r="B60" s="3" t="s">
        <v>31</v>
      </c>
      <c r="C60" s="3"/>
      <c r="D60" s="33"/>
      <c r="E60" s="5">
        <f t="shared" ref="E60:X60" si="15">LandRate</f>
        <v>70</v>
      </c>
      <c r="F60" s="5">
        <f t="shared" si="15"/>
        <v>70</v>
      </c>
      <c r="G60" s="5">
        <f t="shared" si="15"/>
        <v>70</v>
      </c>
      <c r="H60" s="5">
        <f t="shared" si="15"/>
        <v>70</v>
      </c>
      <c r="I60" s="5">
        <f t="shared" si="15"/>
        <v>70</v>
      </c>
      <c r="J60" s="5">
        <f t="shared" si="15"/>
        <v>70</v>
      </c>
      <c r="K60" s="5">
        <f t="shared" si="15"/>
        <v>70</v>
      </c>
      <c r="L60" s="5">
        <f t="shared" si="15"/>
        <v>70</v>
      </c>
      <c r="M60" s="5">
        <f t="shared" si="15"/>
        <v>70</v>
      </c>
      <c r="N60" s="5">
        <f t="shared" si="15"/>
        <v>70</v>
      </c>
      <c r="O60" s="5">
        <f t="shared" si="15"/>
        <v>70</v>
      </c>
      <c r="P60" s="5">
        <f t="shared" si="15"/>
        <v>70</v>
      </c>
      <c r="Q60" s="5">
        <f t="shared" si="15"/>
        <v>70</v>
      </c>
      <c r="R60" s="5">
        <f t="shared" si="15"/>
        <v>70</v>
      </c>
      <c r="S60" s="5">
        <f t="shared" si="15"/>
        <v>70</v>
      </c>
      <c r="T60" s="5">
        <f t="shared" si="15"/>
        <v>70</v>
      </c>
      <c r="U60" s="5">
        <f t="shared" si="15"/>
        <v>70</v>
      </c>
      <c r="V60" s="5">
        <f t="shared" si="15"/>
        <v>70</v>
      </c>
      <c r="W60" s="5">
        <f t="shared" si="15"/>
        <v>70</v>
      </c>
      <c r="X60" s="5">
        <f t="shared" si="15"/>
        <v>70</v>
      </c>
      <c r="Y60" s="5">
        <v>0</v>
      </c>
    </row>
    <row r="61" spans="1:25" x14ac:dyDescent="0.25">
      <c r="A61" s="32"/>
      <c r="B61" s="16" t="s">
        <v>70</v>
      </c>
      <c r="C61" s="20"/>
      <c r="D61" s="21"/>
      <c r="E61" s="19">
        <f>SUM(E58:E60)</f>
        <v>167</v>
      </c>
      <c r="F61" s="19">
        <f t="shared" ref="F61:X61" si="16">SUM(F58:F60)</f>
        <v>167</v>
      </c>
      <c r="G61" s="19">
        <f t="shared" si="16"/>
        <v>167</v>
      </c>
      <c r="H61" s="19">
        <f>SUM(H58:H60)</f>
        <v>167</v>
      </c>
      <c r="I61" s="19">
        <f t="shared" si="16"/>
        <v>167</v>
      </c>
      <c r="J61" s="19">
        <f t="shared" si="16"/>
        <v>167</v>
      </c>
      <c r="K61" s="19">
        <f t="shared" si="16"/>
        <v>167</v>
      </c>
      <c r="L61" s="19">
        <f t="shared" si="16"/>
        <v>167</v>
      </c>
      <c r="M61" s="19">
        <f t="shared" si="16"/>
        <v>167</v>
      </c>
      <c r="N61" s="19">
        <f t="shared" si="16"/>
        <v>167</v>
      </c>
      <c r="O61" s="19">
        <f t="shared" si="16"/>
        <v>167</v>
      </c>
      <c r="P61" s="19">
        <f t="shared" si="16"/>
        <v>167</v>
      </c>
      <c r="Q61" s="19">
        <f t="shared" si="16"/>
        <v>167</v>
      </c>
      <c r="R61" s="19">
        <f t="shared" si="16"/>
        <v>167</v>
      </c>
      <c r="S61" s="19">
        <f t="shared" si="16"/>
        <v>167</v>
      </c>
      <c r="T61" s="19">
        <f t="shared" si="16"/>
        <v>167</v>
      </c>
      <c r="U61" s="19">
        <f t="shared" si="16"/>
        <v>167</v>
      </c>
      <c r="V61" s="19">
        <f t="shared" si="16"/>
        <v>167</v>
      </c>
      <c r="W61" s="19">
        <f t="shared" si="16"/>
        <v>167</v>
      </c>
      <c r="X61" s="19">
        <f t="shared" si="16"/>
        <v>167</v>
      </c>
      <c r="Y61" s="19">
        <f t="shared" ref="Y61" si="17">SUM(Y58:Y60)</f>
        <v>0</v>
      </c>
    </row>
    <row r="62" spans="1:25" ht="12" hidden="1" x14ac:dyDescent="0.25">
      <c r="A62" s="9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" hidden="1" x14ac:dyDescent="0.25">
      <c r="A63" s="32"/>
      <c r="B63" s="16" t="s">
        <v>32</v>
      </c>
      <c r="C63" s="20"/>
      <c r="D63" s="21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" hidden="1" x14ac:dyDescent="0.25">
      <c r="A64" s="9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8" x14ac:dyDescent="0.25">
      <c r="A65" s="32"/>
      <c r="B65" s="16" t="s">
        <v>72</v>
      </c>
      <c r="C65" s="20"/>
      <c r="D65" s="21"/>
      <c r="E65" s="19">
        <f>E39-E61</f>
        <v>6076.9303067312485</v>
      </c>
      <c r="F65" s="19">
        <f t="shared" ref="F65:Y65" si="18">F39-F61</f>
        <v>-167</v>
      </c>
      <c r="G65" s="19">
        <f t="shared" si="18"/>
        <v>-167</v>
      </c>
      <c r="H65" s="19">
        <f t="shared" si="18"/>
        <v>5550.2853641624988</v>
      </c>
      <c r="I65" s="19">
        <f t="shared" si="18"/>
        <v>-167</v>
      </c>
      <c r="J65" s="19">
        <f t="shared" si="18"/>
        <v>-167</v>
      </c>
      <c r="K65" s="19">
        <f t="shared" si="18"/>
        <v>5667.4292565265241</v>
      </c>
      <c r="L65" s="19">
        <f t="shared" si="18"/>
        <v>-167</v>
      </c>
      <c r="M65" s="19">
        <f t="shared" si="18"/>
        <v>-167</v>
      </c>
      <c r="N65" s="19">
        <f t="shared" si="18"/>
        <v>5011.6720224886121</v>
      </c>
      <c r="O65" s="19">
        <f t="shared" si="18"/>
        <v>-167</v>
      </c>
      <c r="P65" s="19">
        <f t="shared" si="18"/>
        <v>-167</v>
      </c>
      <c r="Q65" s="19">
        <f t="shared" si="18"/>
        <v>1919.374758063333</v>
      </c>
      <c r="R65" s="19">
        <f t="shared" si="18"/>
        <v>-167</v>
      </c>
      <c r="S65" s="19">
        <f t="shared" si="18"/>
        <v>-167</v>
      </c>
      <c r="T65" s="19">
        <f t="shared" si="18"/>
        <v>2258.5712192811102</v>
      </c>
      <c r="U65" s="19">
        <f t="shared" si="18"/>
        <v>-167</v>
      </c>
      <c r="V65" s="19">
        <f t="shared" si="18"/>
        <v>-167</v>
      </c>
      <c r="W65" s="19">
        <f t="shared" si="18"/>
        <v>2510.1249606500005</v>
      </c>
      <c r="X65" s="19">
        <f t="shared" si="18"/>
        <v>-167</v>
      </c>
      <c r="Y65" s="19">
        <f t="shared" si="18"/>
        <v>20275.814577869969</v>
      </c>
      <c r="AA65" s="67" t="s">
        <v>100</v>
      </c>
      <c r="AB65" s="75" t="s">
        <v>144</v>
      </c>
    </row>
    <row r="66" spans="1:28" x14ac:dyDescent="0.25">
      <c r="A66" s="32"/>
      <c r="B66" s="40" t="s">
        <v>73</v>
      </c>
      <c r="C66" s="41"/>
      <c r="D66" s="42"/>
      <c r="E66" s="43">
        <f t="shared" ref="E66:Y66" si="19">E65/(1+DiscRate)^(E3-$E$3)</f>
        <v>6076.9303067312485</v>
      </c>
      <c r="F66" s="43">
        <f t="shared" si="19"/>
        <v>-154.62962962962962</v>
      </c>
      <c r="G66" s="43">
        <f t="shared" si="19"/>
        <v>-143.1755829903978</v>
      </c>
      <c r="H66" s="43">
        <f t="shared" si="19"/>
        <v>4405.9954689345641</v>
      </c>
      <c r="I66" s="43">
        <f t="shared" si="19"/>
        <v>-122.74998541700769</v>
      </c>
      <c r="J66" s="43">
        <f t="shared" si="19"/>
        <v>-113.65739390463675</v>
      </c>
      <c r="K66" s="43">
        <f t="shared" si="19"/>
        <v>3571.4417799717103</v>
      </c>
      <c r="L66" s="43">
        <f t="shared" si="19"/>
        <v>-97.442896008776344</v>
      </c>
      <c r="M66" s="43">
        <f t="shared" si="19"/>
        <v>-90.224903711829953</v>
      </c>
      <c r="N66" s="43">
        <f t="shared" si="19"/>
        <v>2507.0837528515585</v>
      </c>
      <c r="O66" s="43">
        <f t="shared" si="19"/>
        <v>-77.353312510142274</v>
      </c>
      <c r="P66" s="43">
        <f t="shared" si="19"/>
        <v>-71.623437509390996</v>
      </c>
      <c r="Q66" s="43">
        <f t="shared" si="19"/>
        <v>762.21012442477036</v>
      </c>
      <c r="R66" s="43">
        <f t="shared" si="19"/>
        <v>-61.405553420259764</v>
      </c>
      <c r="S66" s="43">
        <f t="shared" si="19"/>
        <v>-56.856993907647919</v>
      </c>
      <c r="T66" s="43">
        <f t="shared" si="19"/>
        <v>711.99584195306613</v>
      </c>
      <c r="U66" s="43">
        <f t="shared" si="19"/>
        <v>-48.745708082688544</v>
      </c>
      <c r="V66" s="43">
        <f t="shared" si="19"/>
        <v>-45.13491489137828</v>
      </c>
      <c r="W66" s="43">
        <f t="shared" si="19"/>
        <v>628.15633436273015</v>
      </c>
      <c r="X66" s="43">
        <f t="shared" si="19"/>
        <v>-38.695914687395636</v>
      </c>
      <c r="Y66" s="43">
        <f t="shared" si="19"/>
        <v>4698.1508450461624</v>
      </c>
      <c r="AA66" s="71">
        <f>SUM(E66:Y66)</f>
        <v>22240.268227604625</v>
      </c>
      <c r="AB66" s="71">
        <f>AA66*((1+DiscRate)^Cashflow_TDH!X4)/(((1+DiscRate)^Cashflow_TDH!X4)-1)</f>
        <v>23019.098956749996</v>
      </c>
    </row>
    <row r="68" spans="1:28" x14ac:dyDescent="0.25">
      <c r="B68" s="36"/>
      <c r="C68" s="47"/>
    </row>
    <row r="69" spans="1:28" ht="15.75" x14ac:dyDescent="0.25">
      <c r="C69" s="56"/>
      <c r="G69" s="35"/>
      <c r="I69" s="44"/>
    </row>
    <row r="70" spans="1:28" x14ac:dyDescent="0.25">
      <c r="B70" s="34"/>
    </row>
    <row r="71" spans="1:28" x14ac:dyDescent="0.25">
      <c r="B71" s="37"/>
    </row>
    <row r="72" spans="1:28" x14ac:dyDescent="0.25">
      <c r="K72" s="73"/>
    </row>
    <row r="73" spans="1:28" x14ac:dyDescent="0.25">
      <c r="K73" s="44"/>
    </row>
    <row r="74" spans="1:28" x14ac:dyDescent="0.25">
      <c r="K74" s="44"/>
    </row>
  </sheetData>
  <conditionalFormatting sqref="B61 B63 B37:B39 B4:B6 B65:B66 B55:B56 B41:B46 B26:B27">
    <cfRule type="cellIs" dxfId="35" priority="13" stopIfTrue="1" operator="equal">
      <formula>"hide this row"</formula>
    </cfRule>
  </conditionalFormatting>
  <conditionalFormatting sqref="B54">
    <cfRule type="cellIs" dxfId="34" priority="12" stopIfTrue="1" operator="equal">
      <formula>"hide this row"</formula>
    </cfRule>
  </conditionalFormatting>
  <conditionalFormatting sqref="B17">
    <cfRule type="cellIs" dxfId="33" priority="11" stopIfTrue="1" operator="equal">
      <formula>"hide this row"</formula>
    </cfRule>
  </conditionalFormatting>
  <conditionalFormatting sqref="B8:B11">
    <cfRule type="cellIs" dxfId="32" priority="10" stopIfTrue="1" operator="equal">
      <formula>"hide this row"</formula>
    </cfRule>
  </conditionalFormatting>
  <conditionalFormatting sqref="B53">
    <cfRule type="cellIs" dxfId="31" priority="9" stopIfTrue="1" operator="equal">
      <formula>"hide this row"</formula>
    </cfRule>
  </conditionalFormatting>
  <conditionalFormatting sqref="B12:B16 B18">
    <cfRule type="cellIs" dxfId="30" priority="8" stopIfTrue="1" operator="equal">
      <formula>"hide this row"</formula>
    </cfRule>
  </conditionalFormatting>
  <conditionalFormatting sqref="B48:B52">
    <cfRule type="cellIs" dxfId="29" priority="7" stopIfTrue="1" operator="equal">
      <formula>"hide this row"</formula>
    </cfRule>
  </conditionalFormatting>
  <conditionalFormatting sqref="B23:B25">
    <cfRule type="cellIs" dxfId="28" priority="5" stopIfTrue="1" operator="equal">
      <formula>"hide this row"</formula>
    </cfRule>
  </conditionalFormatting>
  <conditionalFormatting sqref="B19:B22">
    <cfRule type="cellIs" dxfId="27" priority="6" stopIfTrue="1" operator="equal">
      <formula>"hide this row"</formula>
    </cfRule>
  </conditionalFormatting>
  <conditionalFormatting sqref="W5">
    <cfRule type="cellIs" dxfId="26" priority="3" stopIfTrue="1" operator="equal">
      <formula>"hide this row"</formula>
    </cfRule>
  </conditionalFormatting>
  <conditionalFormatting sqref="AA65">
    <cfRule type="cellIs" dxfId="25" priority="2" stopIfTrue="1" operator="equal">
      <formula>"hide this row"</formula>
    </cfRule>
  </conditionalFormatting>
  <conditionalFormatting sqref="AB65">
    <cfRule type="cellIs" dxfId="24" priority="1" stopIfTrue="1" operator="equal">
      <formula>"hide this row"</formula>
    </cfRule>
  </conditionalFormatting>
  <pageMargins left="0.7" right="0.7" top="0.75" bottom="0.75" header="0.3" footer="0.3"/>
  <pageSetup paperSize="9" orientation="portrait" r:id="rId1"/>
  <ignoredErrors>
    <ignoredError sqref="E15:X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opLeftCell="A2" zoomScale="89" zoomScaleNormal="89" workbookViewId="0">
      <selection activeCell="E60" sqref="E60"/>
    </sheetView>
  </sheetViews>
  <sheetFormatPr defaultRowHeight="15" x14ac:dyDescent="0.25"/>
  <cols>
    <col min="1" max="1" width="2.5703125" customWidth="1"/>
    <col min="2" max="2" width="21.7109375" customWidth="1"/>
    <col min="3" max="3" width="10.140625" customWidth="1"/>
    <col min="4" max="4" width="8" customWidth="1"/>
    <col min="5" max="9" width="10.42578125" customWidth="1"/>
    <col min="10" max="10" width="11.7109375" customWidth="1"/>
    <col min="11" max="22" width="10.42578125" customWidth="1"/>
    <col min="23" max="23" width="11" customWidth="1"/>
    <col min="24" max="24" width="10.85546875" customWidth="1"/>
    <col min="25" max="25" width="10" customWidth="1"/>
    <col min="27" max="27" width="10" customWidth="1"/>
    <col min="28" max="28" width="0" hidden="1" customWidth="1"/>
  </cols>
  <sheetData>
    <row r="1" spans="1:28" hidden="1" x14ac:dyDescent="0.25">
      <c r="E1">
        <v>6</v>
      </c>
      <c r="F1">
        <v>7</v>
      </c>
      <c r="G1">
        <v>8</v>
      </c>
      <c r="H1">
        <v>9</v>
      </c>
      <c r="I1">
        <v>10</v>
      </c>
      <c r="J1">
        <v>11</v>
      </c>
      <c r="K1">
        <v>12</v>
      </c>
      <c r="L1">
        <v>13</v>
      </c>
      <c r="M1">
        <v>14</v>
      </c>
      <c r="N1">
        <v>15</v>
      </c>
      <c r="O1">
        <v>16</v>
      </c>
      <c r="P1">
        <v>17</v>
      </c>
      <c r="Q1">
        <v>18</v>
      </c>
      <c r="R1">
        <v>19</v>
      </c>
      <c r="S1">
        <v>20</v>
      </c>
      <c r="T1">
        <v>21</v>
      </c>
      <c r="U1">
        <v>22</v>
      </c>
      <c r="V1">
        <v>23</v>
      </c>
      <c r="W1">
        <v>24</v>
      </c>
      <c r="X1">
        <v>25</v>
      </c>
      <c r="Y1">
        <v>26</v>
      </c>
    </row>
    <row r="2" spans="1:28" ht="14.25" customHeight="1" thickBot="1" x14ac:dyDescent="0.3">
      <c r="A2" s="1" t="s">
        <v>0</v>
      </c>
      <c r="B2" s="2"/>
      <c r="C2" s="3"/>
      <c r="D2" s="4"/>
      <c r="E2" s="2"/>
      <c r="F2" s="3"/>
      <c r="G2" s="5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AA2" s="77" t="s">
        <v>142</v>
      </c>
    </row>
    <row r="3" spans="1:28" x14ac:dyDescent="0.25">
      <c r="A3" s="6"/>
      <c r="B3" s="7"/>
      <c r="C3" s="8"/>
      <c r="D3" s="8" t="s">
        <v>158</v>
      </c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6">
        <v>13</v>
      </c>
      <c r="R3" s="6">
        <v>14</v>
      </c>
      <c r="S3" s="6">
        <v>15</v>
      </c>
      <c r="T3" s="6">
        <v>16</v>
      </c>
      <c r="U3" s="6">
        <v>17</v>
      </c>
      <c r="V3" s="6">
        <v>18</v>
      </c>
      <c r="W3" s="6">
        <v>19</v>
      </c>
      <c r="X3" s="6">
        <v>20</v>
      </c>
      <c r="Y3" s="6">
        <v>20</v>
      </c>
      <c r="AA3">
        <f>Summary!Z13</f>
        <v>70</v>
      </c>
    </row>
    <row r="4" spans="1:28" x14ac:dyDescent="0.25">
      <c r="A4" s="9"/>
      <c r="B4" s="48" t="s">
        <v>82</v>
      </c>
      <c r="C4" s="46" t="str">
        <f>Summary!$D$4</f>
        <v>C</v>
      </c>
      <c r="D4" s="11" t="s">
        <v>103</v>
      </c>
      <c r="E4" s="5">
        <f>Inputs!E5</f>
        <v>25</v>
      </c>
      <c r="F4" s="5">
        <f>E4+1</f>
        <v>26</v>
      </c>
      <c r="G4" s="5">
        <f t="shared" ref="G4:V4" si="0">F4+1</f>
        <v>27</v>
      </c>
      <c r="H4" s="5">
        <f t="shared" si="0"/>
        <v>28</v>
      </c>
      <c r="I4" s="5">
        <f t="shared" si="0"/>
        <v>29</v>
      </c>
      <c r="J4" s="5">
        <f t="shared" si="0"/>
        <v>30</v>
      </c>
      <c r="K4" s="5">
        <f t="shared" si="0"/>
        <v>31</v>
      </c>
      <c r="L4" s="5">
        <f t="shared" si="0"/>
        <v>32</v>
      </c>
      <c r="M4" s="5">
        <f t="shared" si="0"/>
        <v>33</v>
      </c>
      <c r="N4" s="5">
        <f t="shared" si="0"/>
        <v>34</v>
      </c>
      <c r="O4" s="5">
        <f t="shared" si="0"/>
        <v>35</v>
      </c>
      <c r="P4" s="5">
        <f t="shared" si="0"/>
        <v>36</v>
      </c>
      <c r="Q4" s="5">
        <f t="shared" si="0"/>
        <v>37</v>
      </c>
      <c r="R4" s="5">
        <f t="shared" si="0"/>
        <v>38</v>
      </c>
      <c r="S4" s="5">
        <f t="shared" si="0"/>
        <v>39</v>
      </c>
      <c r="T4" s="5">
        <f t="shared" si="0"/>
        <v>40</v>
      </c>
      <c r="U4" s="5">
        <f t="shared" si="0"/>
        <v>41</v>
      </c>
      <c r="V4" s="5">
        <f t="shared" si="0"/>
        <v>42</v>
      </c>
      <c r="W4" s="5">
        <f t="shared" ref="W4:X4" si="1">V4+1</f>
        <v>43</v>
      </c>
      <c r="X4" s="5">
        <f t="shared" si="1"/>
        <v>44</v>
      </c>
      <c r="Y4" s="5" t="s">
        <v>92</v>
      </c>
    </row>
    <row r="5" spans="1:28" x14ac:dyDescent="0.25">
      <c r="A5" s="9"/>
      <c r="B5" s="49" t="s">
        <v>77</v>
      </c>
      <c r="C5" s="46">
        <f>Summary!$D$5</f>
        <v>55</v>
      </c>
      <c r="D5" s="53" t="s">
        <v>141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49" t="s">
        <v>93</v>
      </c>
      <c r="X5" s="52"/>
      <c r="Y5" s="70" t="str">
        <f>Summary!$D$7</f>
        <v>Yes</v>
      </c>
    </row>
    <row r="6" spans="1:28" x14ac:dyDescent="0.25">
      <c r="A6" s="9"/>
      <c r="B6" s="49" t="s">
        <v>81</v>
      </c>
      <c r="C6" s="46">
        <f>Summary!$D$6</f>
        <v>3</v>
      </c>
      <c r="D6" s="53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AA6" s="69"/>
    </row>
    <row r="7" spans="1:28" x14ac:dyDescent="0.25">
      <c r="A7" s="9"/>
      <c r="B7" s="1" t="s">
        <v>56</v>
      </c>
      <c r="C7" s="2"/>
      <c r="D7" s="12"/>
      <c r="E7" s="1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AA7" s="68" t="s">
        <v>86</v>
      </c>
    </row>
    <row r="8" spans="1:28" x14ac:dyDescent="0.25">
      <c r="A8" s="2"/>
      <c r="B8" s="2" t="s">
        <v>1</v>
      </c>
      <c r="C8" s="14"/>
      <c r="D8" s="15"/>
      <c r="E8" s="28">
        <f>E$17*(Cashflow_TDH!$AA8/Cashflow_TDH!$AA$17)</f>
        <v>19.627724705167633</v>
      </c>
      <c r="F8" s="28">
        <f>F$17*(Cashflow_TDH!$AA8/Cashflow_TDH!$AA$17)</f>
        <v>0</v>
      </c>
      <c r="G8" s="28">
        <f>G$17*(Cashflow_TDH!$AA8/Cashflow_TDH!$AA$17)</f>
        <v>0</v>
      </c>
      <c r="H8" s="28">
        <f>H$17*(Cashflow_TDH!$AA8/Cashflow_TDH!$AA$17)</f>
        <v>19.627724705167633</v>
      </c>
      <c r="I8" s="28">
        <f>I$17*(Cashflow_TDH!$AA8/Cashflow_TDH!$AA$17)</f>
        <v>0</v>
      </c>
      <c r="J8" s="28">
        <f>J$17*(Cashflow_TDH!$AA8/Cashflow_TDH!$AA$17)</f>
        <v>0</v>
      </c>
      <c r="K8" s="28">
        <f>K$17*(Cashflow_TDH!$AA8/Cashflow_TDH!$AA$17)</f>
        <v>19.627724705167633</v>
      </c>
      <c r="L8" s="28">
        <f>L$17*(Cashflow_TDH!$AA8/Cashflow_TDH!$AA$17)</f>
        <v>0</v>
      </c>
      <c r="M8" s="28">
        <f>M$17*(Cashflow_TDH!$AA8/Cashflow_TDH!$AA$17)</f>
        <v>0</v>
      </c>
      <c r="N8" s="28">
        <f>N$17*(Cashflow_TDH!$AA8/Cashflow_TDH!$AA$17)</f>
        <v>19.627724705167633</v>
      </c>
      <c r="O8" s="28">
        <f>O$17*(Cashflow_TDH!$AA8/Cashflow_TDH!$AA$17)</f>
        <v>0</v>
      </c>
      <c r="P8" s="28">
        <f>P$17*(Cashflow_TDH!$AA8/Cashflow_TDH!$AA$17)</f>
        <v>0</v>
      </c>
      <c r="Q8" s="28">
        <f>Q$17*(Cashflow_TDH!$AA8/Cashflow_TDH!$AA$17)</f>
        <v>19.627724705167633</v>
      </c>
      <c r="R8" s="28">
        <f>R$17*(Cashflow_TDH!$AA8/Cashflow_TDH!$AA$17)</f>
        <v>0</v>
      </c>
      <c r="S8" s="28">
        <f>S$17*(Cashflow_TDH!$AA8/Cashflow_TDH!$AA$17)</f>
        <v>0</v>
      </c>
      <c r="T8" s="28">
        <f>T$17*(Cashflow_TDH!$AA8/Cashflow_TDH!$AA$17)</f>
        <v>19.627724705167633</v>
      </c>
      <c r="U8" s="28">
        <f>U$17*(Cashflow_TDH!$AA8/Cashflow_TDH!$AA$17)</f>
        <v>0</v>
      </c>
      <c r="V8" s="28">
        <f>V$17*(Cashflow_TDH!$AA8/Cashflow_TDH!$AA$17)</f>
        <v>0</v>
      </c>
      <c r="W8" s="28">
        <f>W$17*(Cashflow_TDH!$AA8/Cashflow_TDH!$AA$17)</f>
        <v>19.627724705167633</v>
      </c>
      <c r="X8" s="28">
        <f>X$17*(Cashflow_TDH!$AA8/Cashflow_TDH!$AA$17)</f>
        <v>0</v>
      </c>
      <c r="Y8" s="28">
        <f>Y$17*(Cashflow_TDH!$AA8/Cashflow_TDH!$AA$17)</f>
        <v>108.31583691104879</v>
      </c>
      <c r="AA8" s="64">
        <f t="shared" ref="AA8:AA14" si="2">SUM(E8:Y8)</f>
        <v>245.70990984722224</v>
      </c>
      <c r="AB8" s="51"/>
    </row>
    <row r="9" spans="1:28" x14ac:dyDescent="0.25">
      <c r="A9" s="2"/>
      <c r="B9" s="2" t="s">
        <v>52</v>
      </c>
      <c r="C9" s="14"/>
      <c r="D9" s="15"/>
      <c r="E9" s="28">
        <f>E$17*(Cashflow_TDH!$AA9/Cashflow_TDH!$AA$17)</f>
        <v>0</v>
      </c>
      <c r="F9" s="28">
        <f>F$17*(Cashflow_TDH!$AA9/Cashflow_TDH!$AA$17)</f>
        <v>0</v>
      </c>
      <c r="G9" s="28">
        <f>G$17*(Cashflow_TDH!$AA9/Cashflow_TDH!$AA$17)</f>
        <v>0</v>
      </c>
      <c r="H9" s="28">
        <f>H$17*(Cashflow_TDH!$AA9/Cashflow_TDH!$AA$17)</f>
        <v>0</v>
      </c>
      <c r="I9" s="28">
        <f>I$17*(Cashflow_TDH!$AA9/Cashflow_TDH!$AA$17)</f>
        <v>0</v>
      </c>
      <c r="J9" s="28">
        <f>J$17*(Cashflow_TDH!$AA9/Cashflow_TDH!$AA$17)</f>
        <v>0</v>
      </c>
      <c r="K9" s="28">
        <f>K$17*(Cashflow_TDH!$AA9/Cashflow_TDH!$AA$17)</f>
        <v>0</v>
      </c>
      <c r="L9" s="28">
        <f>L$17*(Cashflow_TDH!$AA9/Cashflow_TDH!$AA$17)</f>
        <v>0</v>
      </c>
      <c r="M9" s="28">
        <f>M$17*(Cashflow_TDH!$AA9/Cashflow_TDH!$AA$17)</f>
        <v>0</v>
      </c>
      <c r="N9" s="28">
        <f>N$17*(Cashflow_TDH!$AA9/Cashflow_TDH!$AA$17)</f>
        <v>0</v>
      </c>
      <c r="O9" s="28">
        <f>O$17*(Cashflow_TDH!$AA9/Cashflow_TDH!$AA$17)</f>
        <v>0</v>
      </c>
      <c r="P9" s="28">
        <f>P$17*(Cashflow_TDH!$AA9/Cashflow_TDH!$AA$17)</f>
        <v>0</v>
      </c>
      <c r="Q9" s="28">
        <f>Q$17*(Cashflow_TDH!$AA9/Cashflow_TDH!$AA$17)</f>
        <v>0</v>
      </c>
      <c r="R9" s="28">
        <f>R$17*(Cashflow_TDH!$AA9/Cashflow_TDH!$AA$17)</f>
        <v>0</v>
      </c>
      <c r="S9" s="28">
        <f>S$17*(Cashflow_TDH!$AA9/Cashflow_TDH!$AA$17)</f>
        <v>0</v>
      </c>
      <c r="T9" s="28">
        <f>T$17*(Cashflow_TDH!$AA9/Cashflow_TDH!$AA$17)</f>
        <v>0</v>
      </c>
      <c r="U9" s="28">
        <f>U$17*(Cashflow_TDH!$AA9/Cashflow_TDH!$AA$17)</f>
        <v>0</v>
      </c>
      <c r="V9" s="28">
        <f>V$17*(Cashflow_TDH!$AA9/Cashflow_TDH!$AA$17)</f>
        <v>0</v>
      </c>
      <c r="W9" s="28">
        <f>W$17*(Cashflow_TDH!$AA9/Cashflow_TDH!$AA$17)</f>
        <v>0</v>
      </c>
      <c r="X9" s="28">
        <f>X$17*(Cashflow_TDH!$AA9/Cashflow_TDH!$AA$17)</f>
        <v>0</v>
      </c>
      <c r="Y9" s="28">
        <f>Y$17*(Cashflow_TDH!$AA9/Cashflow_TDH!$AA$17)</f>
        <v>0</v>
      </c>
      <c r="AA9" s="64">
        <f t="shared" si="2"/>
        <v>0</v>
      </c>
      <c r="AB9" s="51"/>
    </row>
    <row r="10" spans="1:28" x14ac:dyDescent="0.25">
      <c r="A10" s="2"/>
      <c r="B10" s="2" t="s">
        <v>2</v>
      </c>
      <c r="C10" s="14"/>
      <c r="D10" s="15"/>
      <c r="E10" s="28">
        <f>E$17*(Cashflow_TDH!$AA10/Cashflow_TDH!$AA$17)</f>
        <v>21.848275305083838</v>
      </c>
      <c r="F10" s="28">
        <f>F$17*(Cashflow_TDH!$AA10/Cashflow_TDH!$AA$17)</f>
        <v>0</v>
      </c>
      <c r="G10" s="28">
        <f>G$17*(Cashflow_TDH!$AA10/Cashflow_TDH!$AA$17)</f>
        <v>0</v>
      </c>
      <c r="H10" s="28">
        <f>H$17*(Cashflow_TDH!$AA10/Cashflow_TDH!$AA$17)</f>
        <v>21.848275305083838</v>
      </c>
      <c r="I10" s="28">
        <f>I$17*(Cashflow_TDH!$AA10/Cashflow_TDH!$AA$17)</f>
        <v>0</v>
      </c>
      <c r="J10" s="28">
        <f>J$17*(Cashflow_TDH!$AA10/Cashflow_TDH!$AA$17)</f>
        <v>0</v>
      </c>
      <c r="K10" s="28">
        <f>K$17*(Cashflow_TDH!$AA10/Cashflow_TDH!$AA$17)</f>
        <v>21.848275305083838</v>
      </c>
      <c r="L10" s="28">
        <f>L$17*(Cashflow_TDH!$AA10/Cashflow_TDH!$AA$17)</f>
        <v>0</v>
      </c>
      <c r="M10" s="28">
        <f>M$17*(Cashflow_TDH!$AA10/Cashflow_TDH!$AA$17)</f>
        <v>0</v>
      </c>
      <c r="N10" s="28">
        <f>N$17*(Cashflow_TDH!$AA10/Cashflow_TDH!$AA$17)</f>
        <v>21.848275305083838</v>
      </c>
      <c r="O10" s="28">
        <f>O$17*(Cashflow_TDH!$AA10/Cashflow_TDH!$AA$17)</f>
        <v>0</v>
      </c>
      <c r="P10" s="28">
        <f>P$17*(Cashflow_TDH!$AA10/Cashflow_TDH!$AA$17)</f>
        <v>0</v>
      </c>
      <c r="Q10" s="28">
        <f>Q$17*(Cashflow_TDH!$AA10/Cashflow_TDH!$AA$17)</f>
        <v>21.848275305083838</v>
      </c>
      <c r="R10" s="28">
        <f>R$17*(Cashflow_TDH!$AA10/Cashflow_TDH!$AA$17)</f>
        <v>0</v>
      </c>
      <c r="S10" s="28">
        <f>S$17*(Cashflow_TDH!$AA10/Cashflow_TDH!$AA$17)</f>
        <v>0</v>
      </c>
      <c r="T10" s="28">
        <f>T$17*(Cashflow_TDH!$AA10/Cashflow_TDH!$AA$17)</f>
        <v>21.848275305083838</v>
      </c>
      <c r="U10" s="28">
        <f>U$17*(Cashflow_TDH!$AA10/Cashflow_TDH!$AA$17)</f>
        <v>0</v>
      </c>
      <c r="V10" s="28">
        <f>V$17*(Cashflow_TDH!$AA10/Cashflow_TDH!$AA$17)</f>
        <v>0</v>
      </c>
      <c r="W10" s="28">
        <f>W$17*(Cashflow_TDH!$AA10/Cashflow_TDH!$AA$17)</f>
        <v>21.848275305083838</v>
      </c>
      <c r="X10" s="28">
        <f>X$17*(Cashflow_TDH!$AA10/Cashflow_TDH!$AA$17)</f>
        <v>0</v>
      </c>
      <c r="Y10" s="28">
        <f>Y$17*(Cashflow_TDH!$AA10/Cashflow_TDH!$AA$17)</f>
        <v>120.56997233663535</v>
      </c>
      <c r="AA10" s="64">
        <f>SUM(E10:Y10)</f>
        <v>273.50789947222222</v>
      </c>
      <c r="AB10" s="51"/>
    </row>
    <row r="11" spans="1:28" x14ac:dyDescent="0.25">
      <c r="A11" s="2"/>
      <c r="B11" s="2" t="s">
        <v>3</v>
      </c>
      <c r="C11" s="14"/>
      <c r="D11" s="15"/>
      <c r="E11" s="28">
        <f>E$17*(Cashflow_TDH!$AA11/Cashflow_TDH!$AA$17)</f>
        <v>6.7269307712908128</v>
      </c>
      <c r="F11" s="28">
        <f>F$17*(Cashflow_TDH!$AA11/Cashflow_TDH!$AA$17)</f>
        <v>0</v>
      </c>
      <c r="G11" s="28">
        <f>G$17*(Cashflow_TDH!$AA11/Cashflow_TDH!$AA$17)</f>
        <v>0</v>
      </c>
      <c r="H11" s="28">
        <f>H$17*(Cashflow_TDH!$AA11/Cashflow_TDH!$AA$17)</f>
        <v>6.7269307712908128</v>
      </c>
      <c r="I11" s="28">
        <f>I$17*(Cashflow_TDH!$AA11/Cashflow_TDH!$AA$17)</f>
        <v>0</v>
      </c>
      <c r="J11" s="28">
        <f>J$17*(Cashflow_TDH!$AA11/Cashflow_TDH!$AA$17)</f>
        <v>0</v>
      </c>
      <c r="K11" s="28">
        <f>K$17*(Cashflow_TDH!$AA11/Cashflow_TDH!$AA$17)</f>
        <v>6.7269307712908128</v>
      </c>
      <c r="L11" s="28">
        <f>L$17*(Cashflow_TDH!$AA11/Cashflow_TDH!$AA$17)</f>
        <v>0</v>
      </c>
      <c r="M11" s="28">
        <f>M$17*(Cashflow_TDH!$AA11/Cashflow_TDH!$AA$17)</f>
        <v>0</v>
      </c>
      <c r="N11" s="28">
        <f>N$17*(Cashflow_TDH!$AA11/Cashflow_TDH!$AA$17)</f>
        <v>6.7269307712908128</v>
      </c>
      <c r="O11" s="28">
        <f>O$17*(Cashflow_TDH!$AA11/Cashflow_TDH!$AA$17)</f>
        <v>0</v>
      </c>
      <c r="P11" s="28">
        <f>P$17*(Cashflow_TDH!$AA11/Cashflow_TDH!$AA$17)</f>
        <v>0</v>
      </c>
      <c r="Q11" s="28">
        <f>Q$17*(Cashflow_TDH!$AA11/Cashflow_TDH!$AA$17)</f>
        <v>6.7269307712908128</v>
      </c>
      <c r="R11" s="28">
        <f>R$17*(Cashflow_TDH!$AA11/Cashflow_TDH!$AA$17)</f>
        <v>0</v>
      </c>
      <c r="S11" s="28">
        <f>S$17*(Cashflow_TDH!$AA11/Cashflow_TDH!$AA$17)</f>
        <v>0</v>
      </c>
      <c r="T11" s="28">
        <f>T$17*(Cashflow_TDH!$AA11/Cashflow_TDH!$AA$17)</f>
        <v>6.7269307712908128</v>
      </c>
      <c r="U11" s="28">
        <f>U$17*(Cashflow_TDH!$AA11/Cashflow_TDH!$AA$17)</f>
        <v>0</v>
      </c>
      <c r="V11" s="28">
        <f>V$17*(Cashflow_TDH!$AA11/Cashflow_TDH!$AA$17)</f>
        <v>0</v>
      </c>
      <c r="W11" s="28">
        <f>W$17*(Cashflow_TDH!$AA11/Cashflow_TDH!$AA$17)</f>
        <v>6.7269307712908128</v>
      </c>
      <c r="X11" s="28">
        <f>X$17*(Cashflow_TDH!$AA11/Cashflow_TDH!$AA$17)</f>
        <v>0</v>
      </c>
      <c r="Y11" s="28">
        <f>Y$17*(Cashflow_TDH!$AA11/Cashflow_TDH!$AA$17)</f>
        <v>37.122649073186516</v>
      </c>
      <c r="AA11" s="64">
        <f t="shared" si="2"/>
        <v>84.211164472222208</v>
      </c>
      <c r="AB11" s="51"/>
    </row>
    <row r="12" spans="1:28" x14ac:dyDescent="0.25">
      <c r="A12" s="2"/>
      <c r="B12" s="2" t="s">
        <v>4</v>
      </c>
      <c r="C12" s="14"/>
      <c r="D12" s="15"/>
      <c r="E12" s="28">
        <f>E$17*(Cashflow_TDH!$AA12/Cashflow_TDH!$AA$17)</f>
        <v>18.010466190762056</v>
      </c>
      <c r="F12" s="28">
        <f>F$17*(Cashflow_TDH!$AA12/Cashflow_TDH!$AA$17)</f>
        <v>0</v>
      </c>
      <c r="G12" s="28">
        <f>G$17*(Cashflow_TDH!$AA12/Cashflow_TDH!$AA$17)</f>
        <v>0</v>
      </c>
      <c r="H12" s="28">
        <f>H$17*(Cashflow_TDH!$AA12/Cashflow_TDH!$AA$17)</f>
        <v>18.010466190762056</v>
      </c>
      <c r="I12" s="28">
        <f>I$17*(Cashflow_TDH!$AA12/Cashflow_TDH!$AA$17)</f>
        <v>0</v>
      </c>
      <c r="J12" s="28">
        <f>J$17*(Cashflow_TDH!$AA12/Cashflow_TDH!$AA$17)</f>
        <v>0</v>
      </c>
      <c r="K12" s="28">
        <f>K$17*(Cashflow_TDH!$AA12/Cashflow_TDH!$AA$17)</f>
        <v>18.010466190762056</v>
      </c>
      <c r="L12" s="28">
        <f>L$17*(Cashflow_TDH!$AA12/Cashflow_TDH!$AA$17)</f>
        <v>0</v>
      </c>
      <c r="M12" s="28">
        <f>M$17*(Cashflow_TDH!$AA12/Cashflow_TDH!$AA$17)</f>
        <v>0</v>
      </c>
      <c r="N12" s="28">
        <f>N$17*(Cashflow_TDH!$AA12/Cashflow_TDH!$AA$17)</f>
        <v>18.010466190762056</v>
      </c>
      <c r="O12" s="28">
        <f>O$17*(Cashflow_TDH!$AA12/Cashflow_TDH!$AA$17)</f>
        <v>0</v>
      </c>
      <c r="P12" s="28">
        <f>P$17*(Cashflow_TDH!$AA12/Cashflow_TDH!$AA$17)</f>
        <v>0</v>
      </c>
      <c r="Q12" s="28">
        <f>Q$17*(Cashflow_TDH!$AA12/Cashflow_TDH!$AA$17)</f>
        <v>18.010466190762056</v>
      </c>
      <c r="R12" s="28">
        <f>R$17*(Cashflow_TDH!$AA12/Cashflow_TDH!$AA$17)</f>
        <v>0</v>
      </c>
      <c r="S12" s="28">
        <f>S$17*(Cashflow_TDH!$AA12/Cashflow_TDH!$AA$17)</f>
        <v>0</v>
      </c>
      <c r="T12" s="28">
        <f>T$17*(Cashflow_TDH!$AA12/Cashflow_TDH!$AA$17)</f>
        <v>18.010466190762056</v>
      </c>
      <c r="U12" s="28">
        <f>U$17*(Cashflow_TDH!$AA12/Cashflow_TDH!$AA$17)</f>
        <v>0</v>
      </c>
      <c r="V12" s="28">
        <f>V$17*(Cashflow_TDH!$AA12/Cashflow_TDH!$AA$17)</f>
        <v>0</v>
      </c>
      <c r="W12" s="28">
        <f>W$17*(Cashflow_TDH!$AA12/Cashflow_TDH!$AA$17)</f>
        <v>18.010466190762056</v>
      </c>
      <c r="X12" s="28">
        <f>X$17*(Cashflow_TDH!$AA12/Cashflow_TDH!$AA$17)</f>
        <v>0</v>
      </c>
      <c r="Y12" s="28">
        <f>Y$17*(Cashflow_TDH!$AA12/Cashflow_TDH!$AA$17)</f>
        <v>99.390976178554467</v>
      </c>
      <c r="AA12" s="64">
        <f t="shared" si="2"/>
        <v>225.46423951388886</v>
      </c>
      <c r="AB12" s="51"/>
    </row>
    <row r="13" spans="1:28" x14ac:dyDescent="0.25">
      <c r="A13" s="2"/>
      <c r="B13" s="2" t="s">
        <v>5</v>
      </c>
      <c r="C13" s="14"/>
      <c r="D13" s="15"/>
      <c r="E13" s="28">
        <f>E$17*(Cashflow_TDH!$AA13/Cashflow_TDH!$AA$17)</f>
        <v>2.5653056744642102</v>
      </c>
      <c r="F13" s="28">
        <f>F$17*(Cashflow_TDH!$AA13/Cashflow_TDH!$AA$17)</f>
        <v>0</v>
      </c>
      <c r="G13" s="28">
        <f>G$17*(Cashflow_TDH!$AA13/Cashflow_TDH!$AA$17)</f>
        <v>0</v>
      </c>
      <c r="H13" s="28">
        <f>H$17*(Cashflow_TDH!$AA13/Cashflow_TDH!$AA$17)</f>
        <v>2.5653056744642102</v>
      </c>
      <c r="I13" s="28">
        <f>I$17*(Cashflow_TDH!$AA13/Cashflow_TDH!$AA$17)</f>
        <v>0</v>
      </c>
      <c r="J13" s="28">
        <f>J$17*(Cashflow_TDH!$AA13/Cashflow_TDH!$AA$17)</f>
        <v>0</v>
      </c>
      <c r="K13" s="28">
        <f>K$17*(Cashflow_TDH!$AA13/Cashflow_TDH!$AA$17)</f>
        <v>2.5653056744642102</v>
      </c>
      <c r="L13" s="28">
        <f>L$17*(Cashflow_TDH!$AA13/Cashflow_TDH!$AA$17)</f>
        <v>0</v>
      </c>
      <c r="M13" s="28">
        <f>M$17*(Cashflow_TDH!$AA13/Cashflow_TDH!$AA$17)</f>
        <v>0</v>
      </c>
      <c r="N13" s="28">
        <f>N$17*(Cashflow_TDH!$AA13/Cashflow_TDH!$AA$17)</f>
        <v>2.5653056744642102</v>
      </c>
      <c r="O13" s="28">
        <f>O$17*(Cashflow_TDH!$AA13/Cashflow_TDH!$AA$17)</f>
        <v>0</v>
      </c>
      <c r="P13" s="28">
        <f>P$17*(Cashflow_TDH!$AA13/Cashflow_TDH!$AA$17)</f>
        <v>0</v>
      </c>
      <c r="Q13" s="28">
        <f>Q$17*(Cashflow_TDH!$AA13/Cashflow_TDH!$AA$17)</f>
        <v>2.5653056744642102</v>
      </c>
      <c r="R13" s="28">
        <f>R$17*(Cashflow_TDH!$AA13/Cashflow_TDH!$AA$17)</f>
        <v>0</v>
      </c>
      <c r="S13" s="28">
        <f>S$17*(Cashflow_TDH!$AA13/Cashflow_TDH!$AA$17)</f>
        <v>0</v>
      </c>
      <c r="T13" s="28">
        <f>T$17*(Cashflow_TDH!$AA13/Cashflow_TDH!$AA$17)</f>
        <v>2.5653056744642102</v>
      </c>
      <c r="U13" s="28">
        <f>U$17*(Cashflow_TDH!$AA13/Cashflow_TDH!$AA$17)</f>
        <v>0</v>
      </c>
      <c r="V13" s="28">
        <f>V$17*(Cashflow_TDH!$AA13/Cashflow_TDH!$AA$17)</f>
        <v>0</v>
      </c>
      <c r="W13" s="28">
        <f>W$17*(Cashflow_TDH!$AA13/Cashflow_TDH!$AA$17)</f>
        <v>2.5653056744642102</v>
      </c>
      <c r="X13" s="28">
        <f>X$17*(Cashflow_TDH!$AA13/Cashflow_TDH!$AA$17)</f>
        <v>0</v>
      </c>
      <c r="Y13" s="28">
        <f>Y$17*(Cashflow_TDH!$AA13/Cashflow_TDH!$AA$17)</f>
        <v>14.156670487083861</v>
      </c>
      <c r="AA13" s="64">
        <f>SUM(E13:Y13)</f>
        <v>32.113810208333334</v>
      </c>
      <c r="AB13" s="51"/>
    </row>
    <row r="14" spans="1:28" x14ac:dyDescent="0.25">
      <c r="A14" s="2"/>
      <c r="B14" s="2" t="s">
        <v>51</v>
      </c>
      <c r="C14" s="14"/>
      <c r="D14" s="15"/>
      <c r="E14" s="28">
        <f>E$17*(Cashflow_TDH!$AA14/Cashflow_TDH!$AA$17)</f>
        <v>1.2212973532314446</v>
      </c>
      <c r="F14" s="28">
        <f>F$17*(Cashflow_TDH!$AA14/Cashflow_TDH!$AA$17)</f>
        <v>0</v>
      </c>
      <c r="G14" s="28">
        <f>G$17*(Cashflow_TDH!$AA14/Cashflow_TDH!$AA$17)</f>
        <v>0</v>
      </c>
      <c r="H14" s="28">
        <f>H$17*(Cashflow_TDH!$AA14/Cashflow_TDH!$AA$17)</f>
        <v>1.2212973532314446</v>
      </c>
      <c r="I14" s="28">
        <f>I$17*(Cashflow_TDH!$AA14/Cashflow_TDH!$AA$17)</f>
        <v>0</v>
      </c>
      <c r="J14" s="28">
        <f>J$17*(Cashflow_TDH!$AA14/Cashflow_TDH!$AA$17)</f>
        <v>0</v>
      </c>
      <c r="K14" s="28">
        <f>K$17*(Cashflow_TDH!$AA14/Cashflow_TDH!$AA$17)</f>
        <v>1.2212973532314446</v>
      </c>
      <c r="L14" s="28">
        <f>L$17*(Cashflow_TDH!$AA14/Cashflow_TDH!$AA$17)</f>
        <v>0</v>
      </c>
      <c r="M14" s="28">
        <f>M$17*(Cashflow_TDH!$AA14/Cashflow_TDH!$AA$17)</f>
        <v>0</v>
      </c>
      <c r="N14" s="28">
        <f>N$17*(Cashflow_TDH!$AA14/Cashflow_TDH!$AA$17)</f>
        <v>1.2212973532314446</v>
      </c>
      <c r="O14" s="28">
        <f>O$17*(Cashflow_TDH!$AA14/Cashflow_TDH!$AA$17)</f>
        <v>0</v>
      </c>
      <c r="P14" s="28">
        <f>P$17*(Cashflow_TDH!$AA14/Cashflow_TDH!$AA$17)</f>
        <v>0</v>
      </c>
      <c r="Q14" s="28">
        <f>Q$17*(Cashflow_TDH!$AA14/Cashflow_TDH!$AA$17)</f>
        <v>1.2212973532314446</v>
      </c>
      <c r="R14" s="28">
        <f>R$17*(Cashflow_TDH!$AA14/Cashflow_TDH!$AA$17)</f>
        <v>0</v>
      </c>
      <c r="S14" s="28">
        <f>S$17*(Cashflow_TDH!$AA14/Cashflow_TDH!$AA$17)</f>
        <v>0</v>
      </c>
      <c r="T14" s="28">
        <f>T$17*(Cashflow_TDH!$AA14/Cashflow_TDH!$AA$17)</f>
        <v>1.2212973532314446</v>
      </c>
      <c r="U14" s="28">
        <f>U$17*(Cashflow_TDH!$AA14/Cashflow_TDH!$AA$17)</f>
        <v>0</v>
      </c>
      <c r="V14" s="28">
        <f>V$17*(Cashflow_TDH!$AA14/Cashflow_TDH!$AA$17)</f>
        <v>0</v>
      </c>
      <c r="W14" s="28">
        <f>W$17*(Cashflow_TDH!$AA14/Cashflow_TDH!$AA$17)</f>
        <v>1.2212973532314446</v>
      </c>
      <c r="X14" s="28">
        <f>X$17*(Cashflow_TDH!$AA14/Cashflow_TDH!$AA$17)</f>
        <v>0</v>
      </c>
      <c r="Y14" s="28">
        <f>Y$17*(Cashflow_TDH!$AA14/Cashflow_TDH!$AA$17)</f>
        <v>6.7397442607132234</v>
      </c>
      <c r="AA14" s="64">
        <f t="shared" si="2"/>
        <v>15.288825733333336</v>
      </c>
      <c r="AB14" s="51"/>
    </row>
    <row r="15" spans="1:28" x14ac:dyDescent="0.25">
      <c r="A15" s="2"/>
      <c r="B15" s="50" t="s">
        <v>84</v>
      </c>
      <c r="C15" s="14"/>
      <c r="D15" s="15"/>
      <c r="E15" s="28">
        <f>IFERROR(E17/E16,0)</f>
        <v>2.2341820519050994</v>
      </c>
      <c r="F15" s="28">
        <f t="shared" ref="F15:X15" si="3">IFERROR(F17/F16,0)</f>
        <v>0</v>
      </c>
      <c r="G15" s="28">
        <f t="shared" si="3"/>
        <v>0</v>
      </c>
      <c r="H15" s="28">
        <f t="shared" si="3"/>
        <v>2.2341820519050994</v>
      </c>
      <c r="I15" s="28">
        <f t="shared" si="3"/>
        <v>0</v>
      </c>
      <c r="J15" s="28">
        <f t="shared" si="3"/>
        <v>0</v>
      </c>
      <c r="K15" s="28">
        <f t="shared" si="3"/>
        <v>2.2341820519050994</v>
      </c>
      <c r="L15" s="28">
        <f t="shared" si="3"/>
        <v>0</v>
      </c>
      <c r="M15" s="28">
        <f t="shared" si="3"/>
        <v>0</v>
      </c>
      <c r="N15" s="28">
        <f t="shared" si="3"/>
        <v>2.2341820519050994</v>
      </c>
      <c r="O15" s="28">
        <f t="shared" si="3"/>
        <v>0</v>
      </c>
      <c r="P15" s="28">
        <f t="shared" si="3"/>
        <v>0</v>
      </c>
      <c r="Q15" s="28">
        <f t="shared" si="3"/>
        <v>2.2341820519050994</v>
      </c>
      <c r="R15" s="28">
        <f t="shared" si="3"/>
        <v>0</v>
      </c>
      <c r="S15" s="28">
        <f t="shared" si="3"/>
        <v>0</v>
      </c>
      <c r="T15" s="28">
        <f t="shared" si="3"/>
        <v>2.2341820519050994</v>
      </c>
      <c r="U15" s="28">
        <f t="shared" si="3"/>
        <v>0</v>
      </c>
      <c r="V15" s="28">
        <f t="shared" si="3"/>
        <v>0</v>
      </c>
      <c r="W15" s="28">
        <f t="shared" si="3"/>
        <v>2.2341820519050994</v>
      </c>
      <c r="X15" s="28">
        <f t="shared" si="3"/>
        <v>0</v>
      </c>
      <c r="Y15" s="28">
        <f t="shared" ref="Y15" si="4">IFERROR(Y17/Y16,0)</f>
        <v>2.2341820519050999</v>
      </c>
      <c r="AA15" s="64"/>
      <c r="AB15" s="54"/>
    </row>
    <row r="16" spans="1:28" x14ac:dyDescent="0.25">
      <c r="A16" s="2"/>
      <c r="B16" s="50" t="s">
        <v>85</v>
      </c>
      <c r="C16" s="14"/>
      <c r="D16" s="15"/>
      <c r="E16" s="28">
        <f>(E17/Cashflow_TDH!$AA$17)*Cashflow_TDH!$AA$16</f>
        <v>31.331376930680563</v>
      </c>
      <c r="F16" s="28">
        <f>(F17/Cashflow_TDH!$AA$17)*Cashflow_TDH!$AA$16</f>
        <v>0</v>
      </c>
      <c r="G16" s="28">
        <f>(G17/Cashflow_TDH!$AA$17)*Cashflow_TDH!$AA$16</f>
        <v>0</v>
      </c>
      <c r="H16" s="28">
        <f>(H17/Cashflow_TDH!$AA$17)*Cashflow_TDH!$AA$16</f>
        <v>31.331376930680563</v>
      </c>
      <c r="I16" s="28">
        <f>(I17/Cashflow_TDH!$AA$17)*Cashflow_TDH!$AA$16</f>
        <v>0</v>
      </c>
      <c r="J16" s="28">
        <f>(J17/Cashflow_TDH!$AA$17)*Cashflow_TDH!$AA$16</f>
        <v>0</v>
      </c>
      <c r="K16" s="28">
        <f>(K17/Cashflow_TDH!$AA$17)*Cashflow_TDH!$AA$16</f>
        <v>31.331376930680563</v>
      </c>
      <c r="L16" s="28">
        <f>(L17/Cashflow_TDH!$AA$17)*Cashflow_TDH!$AA$16</f>
        <v>0</v>
      </c>
      <c r="M16" s="28">
        <f>(M17/Cashflow_TDH!$AA$17)*Cashflow_TDH!$AA$16</f>
        <v>0</v>
      </c>
      <c r="N16" s="28">
        <f>(N17/Cashflow_TDH!$AA$17)*Cashflow_TDH!$AA$16</f>
        <v>31.331376930680563</v>
      </c>
      <c r="O16" s="28">
        <f>(O17/Cashflow_TDH!$AA$17)*Cashflow_TDH!$AA$16</f>
        <v>0</v>
      </c>
      <c r="P16" s="28">
        <f>(P17/Cashflow_TDH!$AA$17)*Cashflow_TDH!$AA$16</f>
        <v>0</v>
      </c>
      <c r="Q16" s="28">
        <f>(Q17/Cashflow_TDH!$AA$17)*Cashflow_TDH!$AA$16</f>
        <v>31.331376930680563</v>
      </c>
      <c r="R16" s="28">
        <f>(R17/Cashflow_TDH!$AA$17)*Cashflow_TDH!$AA$16</f>
        <v>0</v>
      </c>
      <c r="S16" s="28">
        <f>(S17/Cashflow_TDH!$AA$17)*Cashflow_TDH!$AA$16</f>
        <v>0</v>
      </c>
      <c r="T16" s="28">
        <f>(T17/Cashflow_TDH!$AA$17)*Cashflow_TDH!$AA$16</f>
        <v>31.331376930680563</v>
      </c>
      <c r="U16" s="28">
        <f>(U17/Cashflow_TDH!$AA$17)*Cashflow_TDH!$AA$16</f>
        <v>0</v>
      </c>
      <c r="V16" s="28">
        <f>(V17/Cashflow_TDH!$AA$17)*Cashflow_TDH!$AA$16</f>
        <v>0</v>
      </c>
      <c r="W16" s="28">
        <f>(W17/Cashflow_TDH!$AA$17)*Cashflow_TDH!$AA$16</f>
        <v>31.331376930680563</v>
      </c>
      <c r="X16" s="28">
        <f>(X17/Cashflow_TDH!$AA$17)*Cashflow_TDH!$AA$16</f>
        <v>0</v>
      </c>
      <c r="Y16" s="28">
        <f>(Y17/Cashflow_TDH!$AA$17)*Cashflow_TDH!$AA$16</f>
        <v>172.90258370745821</v>
      </c>
      <c r="AA16" s="65">
        <f>SUM(E16:Y16)</f>
        <v>392.22222222222217</v>
      </c>
      <c r="AB16" s="54"/>
    </row>
    <row r="17" spans="1:27" ht="12.75" customHeight="1" x14ac:dyDescent="0.25">
      <c r="A17" s="2"/>
      <c r="B17" s="16" t="s">
        <v>59</v>
      </c>
      <c r="C17" s="17"/>
      <c r="D17" s="18"/>
      <c r="E17" s="38">
        <f>IF(SUM(Cashflow_TDH!$E$17:E17)&gt;$AA$3,$AA$3,(SUM(Cashflow_TDH!$E$17:E17)))</f>
        <v>70</v>
      </c>
      <c r="F17" s="38">
        <f>IF($C$6=3,0,IF(SUM(Cashflow_TDH!$E$17:F17)-SUM($E$17:E17)&gt;$AA$3,$AA$3,SUM(Cashflow_TDH!$E$17:F17)-SUM($E$17:E17)))</f>
        <v>0</v>
      </c>
      <c r="G17" s="38">
        <f>IF($C$6=3,0,IF(SUM(Cashflow_TDH!$E$17:G17)-SUM($E$17:F17)&gt;$AA$3,$AA$3,SUM(Cashflow_TDH!$E$17:G17)-SUM($E$17:F17)))</f>
        <v>0</v>
      </c>
      <c r="H17" s="38">
        <f>IF(SUM(Cashflow_TDH!$E$17:H17)-SUM($E$17:G17)&gt;$AA$3,$AA$3,SUM(Cashflow_TDH!$E$17:H17)-SUM($E$17:G17))</f>
        <v>70</v>
      </c>
      <c r="I17" s="38">
        <f>IF($C$6=3,0,IF(SUM(Cashflow_TDH!$E$17:I17)-SUM($E$17:H17)&gt;$AA$3,$AA$3,SUM(Cashflow_TDH!$E$17:I17)-SUM($E$17:H17)))</f>
        <v>0</v>
      </c>
      <c r="J17" s="38">
        <f>IF($C$6=3,0,IF(SUM(Cashflow_TDH!$E$17:J17)-SUM($E$17:I17)&gt;$AA$3,$AA$3,SUM(Cashflow_TDH!$E$17:J17)-SUM($E$17:I17)))</f>
        <v>0</v>
      </c>
      <c r="K17" s="38">
        <f>IF(SUM(Cashflow_TDH!$E$17:K17)-SUM($E$17:J17)&gt;$AA$3,$AA$3,SUM(Cashflow_TDH!$E$17:K17)-SUM($E$17:J17))</f>
        <v>70</v>
      </c>
      <c r="L17" s="38">
        <f>IF($C$6=3,0,IF(SUM(Cashflow_TDH!$E$17:L17)-SUM($E$17:K17)&gt;$AA$3,$AA$3,SUM(Cashflow_TDH!$E$17:L17)-SUM($E$17:K17)))</f>
        <v>0</v>
      </c>
      <c r="M17" s="38">
        <f>IF($C$6=3,0,IF(SUM(Cashflow_TDH!$E$17:M17)-SUM($E$17:L17)&gt;$AA$3,$AA$3,SUM(Cashflow_TDH!$E$17:M17)-SUM($E$17:L17)))</f>
        <v>0</v>
      </c>
      <c r="N17" s="38">
        <f>IF(SUM(Cashflow_TDH!$E$17:N17)-SUM($E$17:M17)&gt;$AA$3,$AA$3,SUM(Cashflow_TDH!$E$17:N17)-SUM($E$17:M17))</f>
        <v>70</v>
      </c>
      <c r="O17" s="38">
        <f>IF($C$6=3,0,IF(SUM(Cashflow_TDH!$E$17:O17)-SUM($E$17:N17)&gt;$AA$3,$AA$3,SUM(Cashflow_TDH!$E$17:O17)-SUM($E$17:N17)))</f>
        <v>0</v>
      </c>
      <c r="P17" s="38">
        <f>IF($C$6=3,0,IF(SUM(Cashflow_TDH!$E$17:P17)-SUM($E$17:O17)&gt;$AA$3,$AA$3,SUM(Cashflow_TDH!$E$17:P17)-SUM($E$17:O17)))</f>
        <v>0</v>
      </c>
      <c r="Q17" s="38">
        <f>IF(SUM(Cashflow_TDH!$E$17:Q17)-SUM($E$17:P17)&gt;$AA$3,$AA$3,SUM(Cashflow_TDH!$E$17:Q17)-SUM($E$17:P17))</f>
        <v>70</v>
      </c>
      <c r="R17" s="38">
        <f>IF($C$6=3,0,IF(SUM(Cashflow_TDH!$E$17:R17)-SUM($E$17:Q17)&gt;$AA$3,$AA$3,SUM(Cashflow_TDH!$E$17:R17)-SUM($E$17:Q17)))</f>
        <v>0</v>
      </c>
      <c r="S17" s="38">
        <f>IF($C$6=3,0,IF(SUM(Cashflow_TDH!$E$17:S17)-SUM($E$17:R17)&gt;$AA$3,$AA$3,SUM(Cashflow_TDH!$E$17:S17)-SUM($E$17:R17)))</f>
        <v>0</v>
      </c>
      <c r="T17" s="38">
        <f>IF(SUM(Cashflow_TDH!$E$17:T17)-SUM($E$17:S17)&gt;$AA$3,$AA$3,SUM(Cashflow_TDH!$E$17:T17)-SUM($E$17:S17))</f>
        <v>70</v>
      </c>
      <c r="U17" s="38">
        <f>IF($C$6=3,0,IF(SUM(Cashflow_TDH!$E$17:U17)-SUM($E$17:T17)&gt;$AA$3,$AA$3,SUM(Cashflow_TDH!$E$17:U17)-SUM($E$17:T17)))</f>
        <v>0</v>
      </c>
      <c r="V17" s="38">
        <f>IF($C$6=3,0,IF(SUM(Cashflow_TDH!$E$17:V17)-SUM($E$17:U17)&gt;$AA$3,$AA$3,SUM(Cashflow_TDH!$E$17:V17)-SUM($E$17:U17)))</f>
        <v>0</v>
      </c>
      <c r="W17" s="38">
        <f>IF(SUM(Cashflow_TDH!$E$17:W17)-SUM($E$17:V17)&gt;$AA$3,$AA$3,SUM(Cashflow_TDH!$E$17:W17)-SUM($E$17:V17))</f>
        <v>70</v>
      </c>
      <c r="X17" s="38">
        <f>IF($C$6=3,0,IF(SUM(Cashflow_TDH!$E$17:X17)-SUM($E$17:W17)&gt;$AA$3,$AA$3,SUM(Cashflow_TDH!$E$17:X17)-SUM($E$17:W17)))</f>
        <v>0</v>
      </c>
      <c r="Y17" s="38">
        <f>Cashflow_TDH!AA17-SUM('Harvest Lvl'!E17:X17)</f>
        <v>386.29584924722224</v>
      </c>
      <c r="AA17" s="66">
        <f>SUM(E17:Y17)</f>
        <v>876.29584924722224</v>
      </c>
    </row>
    <row r="18" spans="1:27" x14ac:dyDescent="0.25">
      <c r="A18" s="9"/>
      <c r="B18" s="1" t="s">
        <v>57</v>
      </c>
      <c r="C18" s="2"/>
      <c r="D18" s="12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7" x14ac:dyDescent="0.25">
      <c r="A19" s="9"/>
      <c r="B19" s="2" t="s">
        <v>1</v>
      </c>
      <c r="C19" s="2"/>
      <c r="D19" s="12"/>
      <c r="E19" s="5">
        <f t="shared" ref="E19:N25" si="5">VLOOKUP($B19,Log_prices,2,FALSE)</f>
        <v>183.1</v>
      </c>
      <c r="F19" s="5">
        <f t="shared" si="5"/>
        <v>183.1</v>
      </c>
      <c r="G19" s="5">
        <f t="shared" si="5"/>
        <v>183.1</v>
      </c>
      <c r="H19" s="5">
        <f t="shared" si="5"/>
        <v>183.1</v>
      </c>
      <c r="I19" s="5">
        <f t="shared" si="5"/>
        <v>183.1</v>
      </c>
      <c r="J19" s="5">
        <f t="shared" si="5"/>
        <v>183.1</v>
      </c>
      <c r="K19" s="5">
        <f t="shared" si="5"/>
        <v>183.1</v>
      </c>
      <c r="L19" s="5">
        <f t="shared" si="5"/>
        <v>183.1</v>
      </c>
      <c r="M19" s="5">
        <f t="shared" si="5"/>
        <v>183.1</v>
      </c>
      <c r="N19" s="5">
        <f t="shared" si="5"/>
        <v>183.1</v>
      </c>
      <c r="O19" s="5">
        <f t="shared" ref="O19:Y25" si="6">VLOOKUP($B19,Log_prices,2,FALSE)</f>
        <v>183.1</v>
      </c>
      <c r="P19" s="5">
        <f t="shared" si="6"/>
        <v>183.1</v>
      </c>
      <c r="Q19" s="5">
        <f t="shared" si="6"/>
        <v>183.1</v>
      </c>
      <c r="R19" s="5">
        <f t="shared" si="6"/>
        <v>183.1</v>
      </c>
      <c r="S19" s="5">
        <f t="shared" si="6"/>
        <v>183.1</v>
      </c>
      <c r="T19" s="5">
        <f t="shared" si="6"/>
        <v>183.1</v>
      </c>
      <c r="U19" s="5">
        <f t="shared" si="6"/>
        <v>183.1</v>
      </c>
      <c r="V19" s="5">
        <f t="shared" si="6"/>
        <v>183.1</v>
      </c>
      <c r="W19" s="5">
        <f t="shared" si="6"/>
        <v>183.1</v>
      </c>
      <c r="X19" s="5">
        <f t="shared" si="6"/>
        <v>183.1</v>
      </c>
      <c r="Y19" s="5">
        <f t="shared" si="6"/>
        <v>183.1</v>
      </c>
    </row>
    <row r="20" spans="1:27" x14ac:dyDescent="0.25">
      <c r="A20" s="9"/>
      <c r="B20" s="2" t="s">
        <v>52</v>
      </c>
      <c r="C20" s="2"/>
      <c r="D20" s="12"/>
      <c r="E20" s="5">
        <f t="shared" si="5"/>
        <v>140.1</v>
      </c>
      <c r="F20" s="5">
        <f t="shared" si="5"/>
        <v>140.1</v>
      </c>
      <c r="G20" s="5">
        <f t="shared" si="5"/>
        <v>140.1</v>
      </c>
      <c r="H20" s="5">
        <f t="shared" si="5"/>
        <v>140.1</v>
      </c>
      <c r="I20" s="5">
        <f t="shared" si="5"/>
        <v>140.1</v>
      </c>
      <c r="J20" s="5">
        <f t="shared" si="5"/>
        <v>140.1</v>
      </c>
      <c r="K20" s="5">
        <f t="shared" si="5"/>
        <v>140.1</v>
      </c>
      <c r="L20" s="5">
        <f t="shared" si="5"/>
        <v>140.1</v>
      </c>
      <c r="M20" s="5">
        <f t="shared" si="5"/>
        <v>140.1</v>
      </c>
      <c r="N20" s="5">
        <f t="shared" si="5"/>
        <v>140.1</v>
      </c>
      <c r="O20" s="5">
        <f t="shared" si="6"/>
        <v>140.1</v>
      </c>
      <c r="P20" s="5">
        <f t="shared" si="6"/>
        <v>140.1</v>
      </c>
      <c r="Q20" s="5">
        <f t="shared" si="6"/>
        <v>140.1</v>
      </c>
      <c r="R20" s="5">
        <f t="shared" si="6"/>
        <v>140.1</v>
      </c>
      <c r="S20" s="5">
        <f t="shared" si="6"/>
        <v>140.1</v>
      </c>
      <c r="T20" s="5">
        <f t="shared" si="6"/>
        <v>140.1</v>
      </c>
      <c r="U20" s="5">
        <f t="shared" si="6"/>
        <v>140.1</v>
      </c>
      <c r="V20" s="5">
        <f t="shared" si="6"/>
        <v>140.1</v>
      </c>
      <c r="W20" s="5">
        <f t="shared" si="6"/>
        <v>140.1</v>
      </c>
      <c r="X20" s="5">
        <f t="shared" si="6"/>
        <v>140.1</v>
      </c>
      <c r="Y20" s="5">
        <f t="shared" si="6"/>
        <v>140.1</v>
      </c>
    </row>
    <row r="21" spans="1:27" x14ac:dyDescent="0.25">
      <c r="A21" s="9"/>
      <c r="B21" s="2" t="s">
        <v>2</v>
      </c>
      <c r="C21" s="2"/>
      <c r="D21" s="12"/>
      <c r="E21" s="5">
        <f t="shared" si="5"/>
        <v>139.69999999999999</v>
      </c>
      <c r="F21" s="5">
        <f t="shared" si="5"/>
        <v>139.69999999999999</v>
      </c>
      <c r="G21" s="5">
        <f t="shared" si="5"/>
        <v>139.69999999999999</v>
      </c>
      <c r="H21" s="5">
        <f t="shared" si="5"/>
        <v>139.69999999999999</v>
      </c>
      <c r="I21" s="5">
        <f t="shared" si="5"/>
        <v>139.69999999999999</v>
      </c>
      <c r="J21" s="5">
        <f t="shared" si="5"/>
        <v>139.69999999999999</v>
      </c>
      <c r="K21" s="5">
        <f t="shared" si="5"/>
        <v>139.69999999999999</v>
      </c>
      <c r="L21" s="5">
        <f t="shared" si="5"/>
        <v>139.69999999999999</v>
      </c>
      <c r="M21" s="5">
        <f t="shared" si="5"/>
        <v>139.69999999999999</v>
      </c>
      <c r="N21" s="5">
        <f t="shared" si="5"/>
        <v>139.69999999999999</v>
      </c>
      <c r="O21" s="5">
        <f t="shared" si="6"/>
        <v>139.69999999999999</v>
      </c>
      <c r="P21" s="5">
        <f t="shared" si="6"/>
        <v>139.69999999999999</v>
      </c>
      <c r="Q21" s="5">
        <f t="shared" si="6"/>
        <v>139.69999999999999</v>
      </c>
      <c r="R21" s="5">
        <f t="shared" si="6"/>
        <v>139.69999999999999</v>
      </c>
      <c r="S21" s="5">
        <f t="shared" si="6"/>
        <v>139.69999999999999</v>
      </c>
      <c r="T21" s="5">
        <f t="shared" si="6"/>
        <v>139.69999999999999</v>
      </c>
      <c r="U21" s="5">
        <f t="shared" si="6"/>
        <v>139.69999999999999</v>
      </c>
      <c r="V21" s="5">
        <f t="shared" si="6"/>
        <v>139.69999999999999</v>
      </c>
      <c r="W21" s="5">
        <f t="shared" si="6"/>
        <v>139.69999999999999</v>
      </c>
      <c r="X21" s="5">
        <f t="shared" si="6"/>
        <v>139.69999999999999</v>
      </c>
      <c r="Y21" s="5">
        <f t="shared" si="6"/>
        <v>139.69999999999999</v>
      </c>
    </row>
    <row r="22" spans="1:27" x14ac:dyDescent="0.25">
      <c r="A22" s="9"/>
      <c r="B22" s="2" t="s">
        <v>3</v>
      </c>
      <c r="C22" s="2"/>
      <c r="D22" s="12"/>
      <c r="E22" s="5">
        <f t="shared" si="5"/>
        <v>128.4</v>
      </c>
      <c r="F22" s="5">
        <f t="shared" si="5"/>
        <v>128.4</v>
      </c>
      <c r="G22" s="5">
        <f t="shared" si="5"/>
        <v>128.4</v>
      </c>
      <c r="H22" s="5">
        <f t="shared" si="5"/>
        <v>128.4</v>
      </c>
      <c r="I22" s="5">
        <f t="shared" si="5"/>
        <v>128.4</v>
      </c>
      <c r="J22" s="5">
        <f t="shared" si="5"/>
        <v>128.4</v>
      </c>
      <c r="K22" s="5">
        <f t="shared" si="5"/>
        <v>128.4</v>
      </c>
      <c r="L22" s="5">
        <f t="shared" si="5"/>
        <v>128.4</v>
      </c>
      <c r="M22" s="5">
        <f t="shared" si="5"/>
        <v>128.4</v>
      </c>
      <c r="N22" s="5">
        <f t="shared" si="5"/>
        <v>128.4</v>
      </c>
      <c r="O22" s="5">
        <f t="shared" si="6"/>
        <v>128.4</v>
      </c>
      <c r="P22" s="5">
        <f t="shared" si="6"/>
        <v>128.4</v>
      </c>
      <c r="Q22" s="5">
        <f t="shared" si="6"/>
        <v>128.4</v>
      </c>
      <c r="R22" s="5">
        <f t="shared" si="6"/>
        <v>128.4</v>
      </c>
      <c r="S22" s="5">
        <f t="shared" si="6"/>
        <v>128.4</v>
      </c>
      <c r="T22" s="5">
        <f t="shared" si="6"/>
        <v>128.4</v>
      </c>
      <c r="U22" s="5">
        <f t="shared" si="6"/>
        <v>128.4</v>
      </c>
      <c r="V22" s="5">
        <f t="shared" si="6"/>
        <v>128.4</v>
      </c>
      <c r="W22" s="5">
        <f t="shared" si="6"/>
        <v>128.4</v>
      </c>
      <c r="X22" s="5">
        <f t="shared" si="6"/>
        <v>128.4</v>
      </c>
      <c r="Y22" s="5">
        <f t="shared" si="6"/>
        <v>128.4</v>
      </c>
    </row>
    <row r="23" spans="1:27" x14ac:dyDescent="0.25">
      <c r="A23" s="9"/>
      <c r="B23" s="2" t="s">
        <v>4</v>
      </c>
      <c r="C23" s="2"/>
      <c r="D23" s="12"/>
      <c r="E23" s="5">
        <f t="shared" si="5"/>
        <v>116.4</v>
      </c>
      <c r="F23" s="5">
        <f t="shared" si="5"/>
        <v>116.4</v>
      </c>
      <c r="G23" s="5">
        <f t="shared" si="5"/>
        <v>116.4</v>
      </c>
      <c r="H23" s="5">
        <f t="shared" si="5"/>
        <v>116.4</v>
      </c>
      <c r="I23" s="5">
        <f t="shared" si="5"/>
        <v>116.4</v>
      </c>
      <c r="J23" s="5">
        <f t="shared" si="5"/>
        <v>116.4</v>
      </c>
      <c r="K23" s="5">
        <f t="shared" si="5"/>
        <v>116.4</v>
      </c>
      <c r="L23" s="5">
        <f t="shared" si="5"/>
        <v>116.4</v>
      </c>
      <c r="M23" s="5">
        <f t="shared" si="5"/>
        <v>116.4</v>
      </c>
      <c r="N23" s="5">
        <f t="shared" si="5"/>
        <v>116.4</v>
      </c>
      <c r="O23" s="5">
        <f t="shared" si="6"/>
        <v>116.4</v>
      </c>
      <c r="P23" s="5">
        <f t="shared" si="6"/>
        <v>116.4</v>
      </c>
      <c r="Q23" s="5">
        <f t="shared" si="6"/>
        <v>116.4</v>
      </c>
      <c r="R23" s="5">
        <f t="shared" si="6"/>
        <v>116.4</v>
      </c>
      <c r="S23" s="5">
        <f t="shared" si="6"/>
        <v>116.4</v>
      </c>
      <c r="T23" s="5">
        <f t="shared" si="6"/>
        <v>116.4</v>
      </c>
      <c r="U23" s="5">
        <f t="shared" si="6"/>
        <v>116.4</v>
      </c>
      <c r="V23" s="5">
        <f t="shared" si="6"/>
        <v>116.4</v>
      </c>
      <c r="W23" s="5">
        <f t="shared" si="6"/>
        <v>116.4</v>
      </c>
      <c r="X23" s="5">
        <f t="shared" si="6"/>
        <v>116.4</v>
      </c>
      <c r="Y23" s="5">
        <f t="shared" si="6"/>
        <v>116.4</v>
      </c>
    </row>
    <row r="24" spans="1:27" x14ac:dyDescent="0.25">
      <c r="A24" s="9"/>
      <c r="B24" s="2" t="s">
        <v>5</v>
      </c>
      <c r="C24" s="2"/>
      <c r="D24" s="12"/>
      <c r="E24" s="5">
        <f t="shared" si="5"/>
        <v>102.1</v>
      </c>
      <c r="F24" s="5">
        <f t="shared" si="5"/>
        <v>102.1</v>
      </c>
      <c r="G24" s="5">
        <f t="shared" si="5"/>
        <v>102.1</v>
      </c>
      <c r="H24" s="5">
        <f t="shared" si="5"/>
        <v>102.1</v>
      </c>
      <c r="I24" s="5">
        <f t="shared" si="5"/>
        <v>102.1</v>
      </c>
      <c r="J24" s="5">
        <f t="shared" si="5"/>
        <v>102.1</v>
      </c>
      <c r="K24" s="5">
        <f t="shared" si="5"/>
        <v>102.1</v>
      </c>
      <c r="L24" s="5">
        <f t="shared" si="5"/>
        <v>102.1</v>
      </c>
      <c r="M24" s="5">
        <f t="shared" si="5"/>
        <v>102.1</v>
      </c>
      <c r="N24" s="5">
        <f t="shared" si="5"/>
        <v>102.1</v>
      </c>
      <c r="O24" s="5">
        <f t="shared" si="6"/>
        <v>102.1</v>
      </c>
      <c r="P24" s="5">
        <f t="shared" si="6"/>
        <v>102.1</v>
      </c>
      <c r="Q24" s="5">
        <f t="shared" si="6"/>
        <v>102.1</v>
      </c>
      <c r="R24" s="5">
        <f t="shared" si="6"/>
        <v>102.1</v>
      </c>
      <c r="S24" s="5">
        <f t="shared" si="6"/>
        <v>102.1</v>
      </c>
      <c r="T24" s="5">
        <f t="shared" si="6"/>
        <v>102.1</v>
      </c>
      <c r="U24" s="5">
        <f t="shared" si="6"/>
        <v>102.1</v>
      </c>
      <c r="V24" s="5">
        <f t="shared" si="6"/>
        <v>102.1</v>
      </c>
      <c r="W24" s="5">
        <f t="shared" si="6"/>
        <v>102.1</v>
      </c>
      <c r="X24" s="5">
        <f t="shared" si="6"/>
        <v>102.1</v>
      </c>
      <c r="Y24" s="5">
        <f t="shared" si="6"/>
        <v>102.1</v>
      </c>
    </row>
    <row r="25" spans="1:27" x14ac:dyDescent="0.25">
      <c r="A25" s="9"/>
      <c r="B25" s="2" t="s">
        <v>51</v>
      </c>
      <c r="C25" s="2"/>
      <c r="D25" s="12"/>
      <c r="E25" s="5">
        <f t="shared" si="5"/>
        <v>54</v>
      </c>
      <c r="F25" s="5">
        <f t="shared" si="5"/>
        <v>54</v>
      </c>
      <c r="G25" s="5">
        <f t="shared" si="5"/>
        <v>54</v>
      </c>
      <c r="H25" s="5">
        <f t="shared" si="5"/>
        <v>54</v>
      </c>
      <c r="I25" s="5">
        <f t="shared" si="5"/>
        <v>54</v>
      </c>
      <c r="J25" s="5">
        <f t="shared" si="5"/>
        <v>54</v>
      </c>
      <c r="K25" s="5">
        <f t="shared" si="5"/>
        <v>54</v>
      </c>
      <c r="L25" s="5">
        <f t="shared" si="5"/>
        <v>54</v>
      </c>
      <c r="M25" s="5">
        <f t="shared" si="5"/>
        <v>54</v>
      </c>
      <c r="N25" s="5">
        <f t="shared" si="5"/>
        <v>54</v>
      </c>
      <c r="O25" s="5">
        <f t="shared" si="6"/>
        <v>54</v>
      </c>
      <c r="P25" s="5">
        <f t="shared" si="6"/>
        <v>54</v>
      </c>
      <c r="Q25" s="5">
        <f t="shared" si="6"/>
        <v>54</v>
      </c>
      <c r="R25" s="5">
        <f t="shared" si="6"/>
        <v>54</v>
      </c>
      <c r="S25" s="5">
        <f t="shared" si="6"/>
        <v>54</v>
      </c>
      <c r="T25" s="5">
        <f t="shared" si="6"/>
        <v>54</v>
      </c>
      <c r="U25" s="5">
        <f t="shared" si="6"/>
        <v>54</v>
      </c>
      <c r="V25" s="5">
        <f t="shared" si="6"/>
        <v>54</v>
      </c>
      <c r="W25" s="5">
        <f t="shared" si="6"/>
        <v>54</v>
      </c>
      <c r="X25" s="5">
        <f t="shared" si="6"/>
        <v>54</v>
      </c>
      <c r="Y25" s="5">
        <f t="shared" si="6"/>
        <v>54</v>
      </c>
    </row>
    <row r="26" spans="1:27" x14ac:dyDescent="0.25">
      <c r="A26" s="9"/>
      <c r="B26" s="16" t="s">
        <v>149</v>
      </c>
      <c r="C26" s="20"/>
      <c r="D26" s="21"/>
      <c r="E26" s="19">
        <f>SUMPRODUCT(E8:E14,E19:E25)</f>
        <v>9934.0643957121429</v>
      </c>
      <c r="F26" s="19">
        <f t="shared" ref="F26:Y26" si="7">SUMPRODUCT(F8:F14,F19:F25)</f>
        <v>0</v>
      </c>
      <c r="G26" s="19">
        <f t="shared" si="7"/>
        <v>0</v>
      </c>
      <c r="H26" s="19">
        <f t="shared" si="7"/>
        <v>9934.0643957121429</v>
      </c>
      <c r="I26" s="19">
        <f t="shared" si="7"/>
        <v>0</v>
      </c>
      <c r="J26" s="19">
        <f t="shared" si="7"/>
        <v>0</v>
      </c>
      <c r="K26" s="19">
        <f t="shared" si="7"/>
        <v>9934.0643957121429</v>
      </c>
      <c r="L26" s="19">
        <f t="shared" si="7"/>
        <v>0</v>
      </c>
      <c r="M26" s="19">
        <f t="shared" si="7"/>
        <v>0</v>
      </c>
      <c r="N26" s="19">
        <f t="shared" si="7"/>
        <v>9934.0643957121429</v>
      </c>
      <c r="O26" s="19">
        <f t="shared" si="7"/>
        <v>0</v>
      </c>
      <c r="P26" s="19">
        <f t="shared" si="7"/>
        <v>0</v>
      </c>
      <c r="Q26" s="19">
        <f t="shared" si="7"/>
        <v>9934.0643957121429</v>
      </c>
      <c r="R26" s="19">
        <f t="shared" si="7"/>
        <v>0</v>
      </c>
      <c r="S26" s="19">
        <f t="shared" si="7"/>
        <v>0</v>
      </c>
      <c r="T26" s="19">
        <f t="shared" si="7"/>
        <v>9934.0643957121429</v>
      </c>
      <c r="U26" s="19">
        <f t="shared" si="7"/>
        <v>0</v>
      </c>
      <c r="V26" s="19">
        <f t="shared" si="7"/>
        <v>0</v>
      </c>
      <c r="W26" s="19">
        <f t="shared" si="7"/>
        <v>9934.0643957121429</v>
      </c>
      <c r="X26" s="19">
        <f t="shared" si="7"/>
        <v>0</v>
      </c>
      <c r="Y26" s="19">
        <f t="shared" si="7"/>
        <v>54821.25488883166</v>
      </c>
      <c r="AA26" s="76">
        <f>SUM(E26:Y26)</f>
        <v>124359.70565881667</v>
      </c>
    </row>
    <row r="27" spans="1:27" hidden="1" x14ac:dyDescent="0.25">
      <c r="A27" s="9"/>
      <c r="B27" s="22"/>
      <c r="C27" s="9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7" x14ac:dyDescent="0.25">
      <c r="A28" s="9"/>
      <c r="B28" s="1" t="s">
        <v>60</v>
      </c>
      <c r="C28" s="2"/>
      <c r="D28" s="12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7" x14ac:dyDescent="0.25">
      <c r="A29" s="9"/>
      <c r="B29" s="10" t="s">
        <v>7</v>
      </c>
      <c r="C29" s="2"/>
      <c r="D29" s="26"/>
      <c r="E29" s="5">
        <f>E17*(Inputs!$J$10*Inputs!$I$5+Inputs!$J$11*(1-Inputs!$I$5))</f>
        <v>2940</v>
      </c>
      <c r="F29" s="5">
        <f>F17*(Inputs!$J$10*Inputs!$I$5+Inputs!$J$11*(1-Inputs!$I$5))</f>
        <v>0</v>
      </c>
      <c r="G29" s="5">
        <f>G17*(Inputs!$J$10*Inputs!$I$5+Inputs!$J$11*(1-Inputs!$I$5))</f>
        <v>0</v>
      </c>
      <c r="H29" s="5">
        <f>H17*(Inputs!$J$10*Inputs!$I$5+Inputs!$J$11*(1-Inputs!$I$5))</f>
        <v>2940</v>
      </c>
      <c r="I29" s="5">
        <f>I17*(Inputs!$J$10*Inputs!$I$5+Inputs!$J$11*(1-Inputs!$I$5))</f>
        <v>0</v>
      </c>
      <c r="J29" s="5">
        <f>J17*(Inputs!$J$10*Inputs!$I$5+Inputs!$J$11*(1-Inputs!$I$5))</f>
        <v>0</v>
      </c>
      <c r="K29" s="5">
        <f>K17*(Inputs!$J$10*Inputs!$I$5+Inputs!$J$11*(1-Inputs!$I$5))</f>
        <v>2940</v>
      </c>
      <c r="L29" s="5">
        <f>L17*(Inputs!$J$10*Inputs!$I$5+Inputs!$J$11*(1-Inputs!$I$5))</f>
        <v>0</v>
      </c>
      <c r="M29" s="5">
        <f>M17*(Inputs!$J$10*Inputs!$I$5+Inputs!$J$11*(1-Inputs!$I$5))</f>
        <v>0</v>
      </c>
      <c r="N29" s="5">
        <f>N17*(Inputs!$J$10*Inputs!$I$5+Inputs!$J$11*(1-Inputs!$I$5))</f>
        <v>2940</v>
      </c>
      <c r="O29" s="5">
        <f>O17*(Inputs!$J$10*Inputs!$I$5+Inputs!$J$11*(1-Inputs!$I$5))</f>
        <v>0</v>
      </c>
      <c r="P29" s="5">
        <f>P17*(Inputs!$J$10*Inputs!$I$5+Inputs!$J$11*(1-Inputs!$I$5))</f>
        <v>0</v>
      </c>
      <c r="Q29" s="5">
        <f>Q17*(Inputs!$J$10*Inputs!$I$5+Inputs!$J$11*(1-Inputs!$I$5))</f>
        <v>2940</v>
      </c>
      <c r="R29" s="5">
        <f>R17*(Inputs!$J$10*Inputs!$I$5+Inputs!$J$11*(1-Inputs!$I$5))</f>
        <v>0</v>
      </c>
      <c r="S29" s="5">
        <f>S17*(Inputs!$J$10*Inputs!$I$5+Inputs!$J$11*(1-Inputs!$I$5))</f>
        <v>0</v>
      </c>
      <c r="T29" s="5">
        <f>T17*(Inputs!$J$10*Inputs!$I$5+Inputs!$J$11*(1-Inputs!$I$5))</f>
        <v>2940</v>
      </c>
      <c r="U29" s="5">
        <f>U17*(Inputs!$J$10*Inputs!$I$5+Inputs!$J$11*(1-Inputs!$I$5))</f>
        <v>0</v>
      </c>
      <c r="V29" s="5">
        <f>V17*(Inputs!$J$10*Inputs!$I$5+Inputs!$J$11*(1-Inputs!$I$5))</f>
        <v>0</v>
      </c>
      <c r="W29" s="5">
        <f>W17*(Inputs!$J$10*Inputs!$I$5+Inputs!$J$11*(1-Inputs!$I$5))</f>
        <v>2940</v>
      </c>
      <c r="X29" s="5">
        <f>X17*(Inputs!$J$10*Inputs!$I$5+Inputs!$J$11*(1-Inputs!$I$5))</f>
        <v>0</v>
      </c>
      <c r="Y29" s="5">
        <f>Y17*(Inputs!$J$10*Inputs!$I$5+Inputs!$J$11*(1-Inputs!$I$5))</f>
        <v>16224.425668383334</v>
      </c>
    </row>
    <row r="30" spans="1:27" x14ac:dyDescent="0.25">
      <c r="A30" s="9"/>
      <c r="B30" s="10" t="s">
        <v>8</v>
      </c>
      <c r="C30" s="2"/>
      <c r="D30" s="26"/>
      <c r="E30" s="5">
        <f>IF(E17=0,0,IF(SUM($D$30:D30)=0,Inputs!O10,0))</f>
        <v>3000</v>
      </c>
      <c r="F30" s="5">
        <f>IF(F17=0,0,IF(SUM($D$30:E30)=0,Inputs!P10,0))</f>
        <v>0</v>
      </c>
      <c r="G30" s="5">
        <f>IF(G17=0,0,IF(SUM($D$30:F30)=0,Inputs!Q10,0))</f>
        <v>0</v>
      </c>
      <c r="H30" s="5">
        <f>IF(H17=0,0,IF(SUM($D$30:G30)=0,Inputs!R10,0))</f>
        <v>0</v>
      </c>
      <c r="I30" s="5">
        <f>IF(I17=0,0,IF(SUM($D$30:H30)=0,Inputs!S10,0))</f>
        <v>0</v>
      </c>
      <c r="J30" s="5">
        <f>IF(J17=0,0,IF(SUM($D$30:I30)=0,Inputs!T10,0))</f>
        <v>0</v>
      </c>
      <c r="K30" s="5">
        <f>IF(K17=0,0,IF(SUM($D$30:J30)=0,Inputs!#REF!,0))</f>
        <v>0</v>
      </c>
      <c r="L30" s="5">
        <f>IF(L17=0,0,IF(SUM($D$30:K30)=0,Inputs!V10,0))</f>
        <v>0</v>
      </c>
      <c r="M30" s="5">
        <f>IF(M17=0,0,IF(SUM($D$30:L30)=0,Inputs!W10,0))</f>
        <v>0</v>
      </c>
      <c r="N30" s="5">
        <f>IF(N17=0,0,IF(SUM($D$30:M30)=0,Inputs!X10,0))</f>
        <v>0</v>
      </c>
      <c r="O30" s="5">
        <f>IF(O17=0,0,IF(SUM($D$30:N30)=0,Inputs!Y10,0))</f>
        <v>0</v>
      </c>
      <c r="P30" s="5">
        <f>IF(P17=0,0,IF(SUM($D$30:O30)=0,Inputs!Z10,0))</f>
        <v>0</v>
      </c>
      <c r="Q30" s="5">
        <f>IF(Q17=0,0,IF(SUM($D$30:P30)=0,Inputs!AA10,0))</f>
        <v>0</v>
      </c>
      <c r="R30" s="5">
        <f>IF(R17=0,0,IF(SUM($D$30:Q30)=0,Inputs!AB10,0))</f>
        <v>0</v>
      </c>
      <c r="S30" s="5">
        <f>IF(S17=0,0,IF(SUM($D$30:R30)=0,Inputs!AC10,0))</f>
        <v>0</v>
      </c>
      <c r="T30" s="5">
        <f>IF(T17=0,0,IF(SUM($D$30:S30)=0,Inputs!AD10,0))</f>
        <v>0</v>
      </c>
      <c r="U30" s="5">
        <f>IF(U17=0,0,IF(SUM($D$30:T30)=0,Inputs!AE10,0))</f>
        <v>0</v>
      </c>
      <c r="V30" s="5">
        <f>IF(V17=0,0,IF(SUM($D$30:U30)=0,Inputs!AF10,0))</f>
        <v>0</v>
      </c>
      <c r="W30" s="5">
        <f>IF(W17=0,0,IF(SUM($D$30:V30)=0,Inputs!AG10,0))</f>
        <v>0</v>
      </c>
      <c r="X30" s="5">
        <f>IF(X17=0,0,IF(SUM($D$30:W30)=0,Inputs!AH10,0))</f>
        <v>0</v>
      </c>
      <c r="Y30" s="5">
        <f>IF(Y17=0,0,IF(SUM($D$30:X30)=0,Inputs!AI10,0))</f>
        <v>0</v>
      </c>
    </row>
    <row r="31" spans="1:27" x14ac:dyDescent="0.25">
      <c r="A31" s="9"/>
      <c r="B31" s="10" t="s">
        <v>61</v>
      </c>
      <c r="C31" s="2"/>
      <c r="D31" s="26"/>
      <c r="E31" s="5">
        <f>E17*Inputs!$O$11</f>
        <v>70</v>
      </c>
      <c r="F31" s="5">
        <f>F17*Inputs!$O$11</f>
        <v>0</v>
      </c>
      <c r="G31" s="5">
        <f>G17*Inputs!$O$11</f>
        <v>0</v>
      </c>
      <c r="H31" s="5">
        <f>H17*Inputs!$O$11</f>
        <v>70</v>
      </c>
      <c r="I31" s="5">
        <f>I17*Inputs!$O$11</f>
        <v>0</v>
      </c>
      <c r="J31" s="5">
        <f>J17*Inputs!$O$11</f>
        <v>0</v>
      </c>
      <c r="K31" s="5">
        <f>K17*Inputs!$O$11</f>
        <v>70</v>
      </c>
      <c r="L31" s="5">
        <f>L17*Inputs!$O$11</f>
        <v>0</v>
      </c>
      <c r="M31" s="5">
        <f>M17*Inputs!$O$11</f>
        <v>0</v>
      </c>
      <c r="N31" s="5">
        <f>N17*Inputs!$O$11</f>
        <v>70</v>
      </c>
      <c r="O31" s="5">
        <f>O17*Inputs!$O$11</f>
        <v>0</v>
      </c>
      <c r="P31" s="5">
        <f>P17*Inputs!$O$11</f>
        <v>0</v>
      </c>
      <c r="Q31" s="5">
        <f>Q17*Inputs!$O$11</f>
        <v>70</v>
      </c>
      <c r="R31" s="5">
        <f>R17*Inputs!$O$11</f>
        <v>0</v>
      </c>
      <c r="S31" s="5">
        <f>S17*Inputs!$O$11</f>
        <v>0</v>
      </c>
      <c r="T31" s="5">
        <f>T17*Inputs!$O$11</f>
        <v>70</v>
      </c>
      <c r="U31" s="5">
        <f>U17*Inputs!$O$11</f>
        <v>0</v>
      </c>
      <c r="V31" s="5">
        <f>V17*Inputs!$O$11</f>
        <v>0</v>
      </c>
      <c r="W31" s="5">
        <f>W17*Inputs!$O$11</f>
        <v>70</v>
      </c>
      <c r="X31" s="5">
        <f>X17*Inputs!$O$11</f>
        <v>0</v>
      </c>
      <c r="Y31" s="5">
        <f>Y17*Inputs!$O$11</f>
        <v>386.29584924722224</v>
      </c>
    </row>
    <row r="32" spans="1:27" x14ac:dyDescent="0.25">
      <c r="A32" s="9"/>
      <c r="B32" s="10" t="s">
        <v>9</v>
      </c>
      <c r="C32" s="2"/>
      <c r="D32" s="26"/>
      <c r="E32" s="5">
        <f>Inputs!$J$12*'Harvest Lvl'!E17</f>
        <v>560</v>
      </c>
      <c r="F32" s="5">
        <f>Inputs!$J$12*'Harvest Lvl'!F17</f>
        <v>0</v>
      </c>
      <c r="G32" s="5">
        <f>Inputs!$J$12*'Harvest Lvl'!G17</f>
        <v>0</v>
      </c>
      <c r="H32" s="5">
        <f>Inputs!$J$12*'Harvest Lvl'!H17</f>
        <v>560</v>
      </c>
      <c r="I32" s="5">
        <f>Inputs!$J$12*'Harvest Lvl'!I17</f>
        <v>0</v>
      </c>
      <c r="J32" s="5">
        <f>Inputs!$J$12*'Harvest Lvl'!J17</f>
        <v>0</v>
      </c>
      <c r="K32" s="5">
        <f>Inputs!$J$12*'Harvest Lvl'!K17</f>
        <v>560</v>
      </c>
      <c r="L32" s="5">
        <f>Inputs!$J$12*'Harvest Lvl'!L17</f>
        <v>0</v>
      </c>
      <c r="M32" s="5">
        <f>Inputs!$J$12*'Harvest Lvl'!M17</f>
        <v>0</v>
      </c>
      <c r="N32" s="5">
        <f>Inputs!$J$12*'Harvest Lvl'!N17</f>
        <v>560</v>
      </c>
      <c r="O32" s="5">
        <f>Inputs!$J$12*'Harvest Lvl'!O17</f>
        <v>0</v>
      </c>
      <c r="P32" s="5">
        <f>Inputs!$J$12*'Harvest Lvl'!P17</f>
        <v>0</v>
      </c>
      <c r="Q32" s="5">
        <f>Inputs!$J$12*'Harvest Lvl'!Q17</f>
        <v>560</v>
      </c>
      <c r="R32" s="5">
        <f>Inputs!$J$12*'Harvest Lvl'!R17</f>
        <v>0</v>
      </c>
      <c r="S32" s="5">
        <f>Inputs!$J$12*'Harvest Lvl'!S17</f>
        <v>0</v>
      </c>
      <c r="T32" s="5">
        <f>Inputs!$J$12*'Harvest Lvl'!T17</f>
        <v>560</v>
      </c>
      <c r="U32" s="5">
        <f>Inputs!$J$12*'Harvest Lvl'!U17</f>
        <v>0</v>
      </c>
      <c r="V32" s="5">
        <f>Inputs!$J$12*'Harvest Lvl'!V17</f>
        <v>0</v>
      </c>
      <c r="W32" s="5">
        <f>Inputs!$J$12*'Harvest Lvl'!W17</f>
        <v>560</v>
      </c>
      <c r="X32" s="5">
        <f>Inputs!$J$12*'Harvest Lvl'!X17</f>
        <v>0</v>
      </c>
      <c r="Y32" s="5">
        <f>Inputs!$J$12*'Harvest Lvl'!Y17</f>
        <v>3090.3667939777779</v>
      </c>
    </row>
    <row r="33" spans="1:27" x14ac:dyDescent="0.25">
      <c r="A33" s="9"/>
      <c r="B33" s="10" t="s">
        <v>10</v>
      </c>
      <c r="C33" s="2"/>
      <c r="D33" s="26"/>
      <c r="E33" s="5">
        <f>Inputs!$J$13*'Harvest Lvl'!E17</f>
        <v>0</v>
      </c>
      <c r="F33" s="5">
        <f>Inputs!$J$13*'Harvest Lvl'!F17</f>
        <v>0</v>
      </c>
      <c r="G33" s="5">
        <f>Inputs!$J$13*'Harvest Lvl'!G17</f>
        <v>0</v>
      </c>
      <c r="H33" s="5">
        <f>Inputs!$J$13*'Harvest Lvl'!H17</f>
        <v>0</v>
      </c>
      <c r="I33" s="5">
        <f>Inputs!$J$13*'Harvest Lvl'!I17</f>
        <v>0</v>
      </c>
      <c r="J33" s="5">
        <f>Inputs!$J$13*'Harvest Lvl'!J17</f>
        <v>0</v>
      </c>
      <c r="K33" s="5">
        <f>Inputs!$J$13*'Harvest Lvl'!K17</f>
        <v>0</v>
      </c>
      <c r="L33" s="5">
        <f>Inputs!$J$13*'Harvest Lvl'!L17</f>
        <v>0</v>
      </c>
      <c r="M33" s="5">
        <f>Inputs!$J$13*'Harvest Lvl'!M17</f>
        <v>0</v>
      </c>
      <c r="N33" s="5">
        <f>Inputs!$J$13*'Harvest Lvl'!N17</f>
        <v>0</v>
      </c>
      <c r="O33" s="5">
        <f>Inputs!$J$13*'Harvest Lvl'!O17</f>
        <v>0</v>
      </c>
      <c r="P33" s="5">
        <f>Inputs!$J$13*'Harvest Lvl'!P17</f>
        <v>0</v>
      </c>
      <c r="Q33" s="5">
        <f>Inputs!$J$13*'Harvest Lvl'!Q17</f>
        <v>0</v>
      </c>
      <c r="R33" s="5">
        <f>Inputs!$J$13*'Harvest Lvl'!R17</f>
        <v>0</v>
      </c>
      <c r="S33" s="5">
        <f>Inputs!$J$13*'Harvest Lvl'!S17</f>
        <v>0</v>
      </c>
      <c r="T33" s="5">
        <f>Inputs!$J$13*'Harvest Lvl'!T17</f>
        <v>0</v>
      </c>
      <c r="U33" s="5">
        <f>Inputs!$J$13*'Harvest Lvl'!U17</f>
        <v>0</v>
      </c>
      <c r="V33" s="5">
        <f>Inputs!$J$13*'Harvest Lvl'!V17</f>
        <v>0</v>
      </c>
      <c r="W33" s="5">
        <f>Inputs!$J$13*'Harvest Lvl'!W17</f>
        <v>0</v>
      </c>
      <c r="X33" s="5">
        <f>Inputs!$J$13*'Harvest Lvl'!X17</f>
        <v>0</v>
      </c>
      <c r="Y33" s="5">
        <f>Inputs!$J$13*'Harvest Lvl'!Y17</f>
        <v>0</v>
      </c>
    </row>
    <row r="34" spans="1:27" x14ac:dyDescent="0.25">
      <c r="A34" s="9"/>
      <c r="B34" s="10" t="s">
        <v>11</v>
      </c>
      <c r="C34" s="2" t="s">
        <v>67</v>
      </c>
      <c r="D34" s="26"/>
      <c r="E34" s="5">
        <f>SUM(E8:E13)*(Inputs!$J$14+Inputs!$J$15*VLOOKUP($C$4,StandInfo,9,FALSE))</f>
        <v>2075.9475819874151</v>
      </c>
      <c r="F34" s="5">
        <f>SUM(F8:F13)*(Inputs!$J$14+Inputs!$J$15*VLOOKUP($C$4,StandInfo,9,FALSE))</f>
        <v>0</v>
      </c>
      <c r="G34" s="5">
        <f>SUM(G8:G13)*(Inputs!$J$14+Inputs!$J$15*VLOOKUP($C$4,StandInfo,9,FALSE))</f>
        <v>0</v>
      </c>
      <c r="H34" s="5">
        <f>SUM(H8:H13)*(Inputs!$J$14+Inputs!$J$15*VLOOKUP($C$4,StandInfo,9,FALSE))</f>
        <v>2075.9475819874151</v>
      </c>
      <c r="I34" s="5">
        <f>SUM(I8:I13)*(Inputs!$J$14+Inputs!$J$15*VLOOKUP($C$4,StandInfo,9,FALSE))</f>
        <v>0</v>
      </c>
      <c r="J34" s="5">
        <f>SUM(J8:J13)*(Inputs!$J$14+Inputs!$J$15*VLOOKUP($C$4,StandInfo,9,FALSE))</f>
        <v>0</v>
      </c>
      <c r="K34" s="5">
        <f>SUM(K8:K13)*(Inputs!$J$14+Inputs!$J$15*VLOOKUP($C$4,StandInfo,9,FALSE))</f>
        <v>2075.9475819874151</v>
      </c>
      <c r="L34" s="5">
        <f>SUM(L8:L13)*(Inputs!$J$14+Inputs!$J$15*VLOOKUP($C$4,StandInfo,9,FALSE))</f>
        <v>0</v>
      </c>
      <c r="M34" s="5">
        <f>SUM(M8:M13)*(Inputs!$J$14+Inputs!$J$15*VLOOKUP($C$4,StandInfo,9,FALSE))</f>
        <v>0</v>
      </c>
      <c r="N34" s="5">
        <f>SUM(N8:N13)*(Inputs!$J$14+Inputs!$J$15*VLOOKUP($C$4,StandInfo,9,FALSE))</f>
        <v>2075.9475819874151</v>
      </c>
      <c r="O34" s="5">
        <f>SUM(O8:O13)*(Inputs!$J$14+Inputs!$J$15*VLOOKUP($C$4,StandInfo,9,FALSE))</f>
        <v>0</v>
      </c>
      <c r="P34" s="5">
        <f>SUM(P8:P13)*(Inputs!$J$14+Inputs!$J$15*VLOOKUP($C$4,StandInfo,9,FALSE))</f>
        <v>0</v>
      </c>
      <c r="Q34" s="5">
        <f>SUM(Q8:Q13)*(Inputs!$J$14+Inputs!$J$15*VLOOKUP($C$4,StandInfo,9,FALSE))</f>
        <v>2075.9475819874151</v>
      </c>
      <c r="R34" s="5">
        <f>SUM(R8:R13)*(Inputs!$J$14+Inputs!$J$15*VLOOKUP($C$4,StandInfo,9,FALSE))</f>
        <v>0</v>
      </c>
      <c r="S34" s="5">
        <f>SUM(S8:S13)*(Inputs!$J$14+Inputs!$J$15*VLOOKUP($C$4,StandInfo,9,FALSE))</f>
        <v>0</v>
      </c>
      <c r="T34" s="5">
        <f>SUM(T8:T13)*(Inputs!$J$14+Inputs!$J$15*VLOOKUP($C$4,StandInfo,9,FALSE))</f>
        <v>2075.9475819874151</v>
      </c>
      <c r="U34" s="5">
        <f>SUM(U8:U13)*(Inputs!$J$14+Inputs!$J$15*VLOOKUP($C$4,StandInfo,9,FALSE))</f>
        <v>0</v>
      </c>
      <c r="V34" s="5">
        <f>SUM(V8:V13)*(Inputs!$J$14+Inputs!$J$15*VLOOKUP($C$4,StandInfo,9,FALSE))</f>
        <v>0</v>
      </c>
      <c r="W34" s="5">
        <f>SUM(W8:W13)*(Inputs!$J$14+Inputs!$J$15*VLOOKUP($C$4,StandInfo,9,FALSE))</f>
        <v>2075.9475819874151</v>
      </c>
      <c r="X34" s="5">
        <f>SUM(X8:X13)*(Inputs!$J$14+Inputs!$J$15*VLOOKUP($C$4,StandInfo,9,FALSE))</f>
        <v>0</v>
      </c>
      <c r="Y34" s="5">
        <f>SUM(Y8:Y13)*(Inputs!$J$14+Inputs!$J$15*VLOOKUP($C$4,StandInfo,9,FALSE))</f>
        <v>11456.141916807801</v>
      </c>
    </row>
    <row r="35" spans="1:27" hidden="1" x14ac:dyDescent="0.25">
      <c r="A35" s="9"/>
      <c r="B35" s="10"/>
      <c r="C35" s="2" t="s">
        <v>68</v>
      </c>
      <c r="D35" s="26"/>
    </row>
    <row r="36" spans="1:27" x14ac:dyDescent="0.25">
      <c r="A36" s="9"/>
      <c r="B36" s="10"/>
      <c r="C36" s="2" t="s">
        <v>51</v>
      </c>
      <c r="D36" s="26"/>
      <c r="E36" s="5">
        <f>E14*(Inputs!$J$14+Inputs!$J$15*VLOOKUP('Harvest Lvl'!$C$4,StandInfo,11,FALSE))</f>
        <v>19.302604667822983</v>
      </c>
      <c r="F36" s="5">
        <f>F14*(Inputs!$J$14+Inputs!$J$15*VLOOKUP('Harvest Lvl'!$C$4,StandInfo,11,FALSE))</f>
        <v>0</v>
      </c>
      <c r="G36" s="5">
        <f>G14*(Inputs!$J$14+Inputs!$J$15*VLOOKUP('Harvest Lvl'!$C$4,StandInfo,11,FALSE))</f>
        <v>0</v>
      </c>
      <c r="H36" s="5">
        <f>H14*(Inputs!$J$14+Inputs!$J$15*VLOOKUP('Harvest Lvl'!$C$4,StandInfo,11,FALSE))</f>
        <v>19.302604667822983</v>
      </c>
      <c r="I36" s="5">
        <f>I14*(Inputs!$J$14+Inputs!$J$15*VLOOKUP('Harvest Lvl'!$C$4,StandInfo,11,FALSE))</f>
        <v>0</v>
      </c>
      <c r="J36" s="5">
        <f>J14*(Inputs!$J$14+Inputs!$J$15*VLOOKUP('Harvest Lvl'!$C$4,StandInfo,11,FALSE))</f>
        <v>0</v>
      </c>
      <c r="K36" s="5">
        <f>K14*(Inputs!$J$14+Inputs!$J$15*VLOOKUP('Harvest Lvl'!$C$4,StandInfo,11,FALSE))</f>
        <v>19.302604667822983</v>
      </c>
      <c r="L36" s="5">
        <f>L14*(Inputs!$J$14+Inputs!$J$15*VLOOKUP('Harvest Lvl'!$C$4,StandInfo,11,FALSE))</f>
        <v>0</v>
      </c>
      <c r="M36" s="5">
        <f>M14*(Inputs!$J$14+Inputs!$J$15*VLOOKUP('Harvest Lvl'!$C$4,StandInfo,11,FALSE))</f>
        <v>0</v>
      </c>
      <c r="N36" s="5">
        <f>N14*(Inputs!$J$14+Inputs!$J$15*VLOOKUP('Harvest Lvl'!$C$4,StandInfo,11,FALSE))</f>
        <v>19.302604667822983</v>
      </c>
      <c r="O36" s="5">
        <f>O14*(Inputs!$J$14+Inputs!$J$15*VLOOKUP('Harvest Lvl'!$C$4,StandInfo,11,FALSE))</f>
        <v>0</v>
      </c>
      <c r="P36" s="5">
        <f>P14*(Inputs!$J$14+Inputs!$J$15*VLOOKUP('Harvest Lvl'!$C$4,StandInfo,11,FALSE))</f>
        <v>0</v>
      </c>
      <c r="Q36" s="5">
        <f>Q14*(Inputs!$J$14+Inputs!$J$15*VLOOKUP('Harvest Lvl'!$C$4,StandInfo,11,FALSE))</f>
        <v>19.302604667822983</v>
      </c>
      <c r="R36" s="5">
        <f>R14*(Inputs!$J$14+Inputs!$J$15*VLOOKUP('Harvest Lvl'!$C$4,StandInfo,11,FALSE))</f>
        <v>0</v>
      </c>
      <c r="S36" s="5">
        <f>S14*(Inputs!$J$14+Inputs!$J$15*VLOOKUP('Harvest Lvl'!$C$4,StandInfo,11,FALSE))</f>
        <v>0</v>
      </c>
      <c r="T36" s="5">
        <f>T14*(Inputs!$J$14+Inputs!$J$15*VLOOKUP('Harvest Lvl'!$C$4,StandInfo,11,FALSE))</f>
        <v>19.302604667822983</v>
      </c>
      <c r="U36" s="5">
        <f>U14*(Inputs!$J$14+Inputs!$J$15*VLOOKUP('Harvest Lvl'!$C$4,StandInfo,11,FALSE))</f>
        <v>0</v>
      </c>
      <c r="V36" s="5">
        <f>V14*(Inputs!$J$14+Inputs!$J$15*VLOOKUP('Harvest Lvl'!$C$4,StandInfo,11,FALSE))</f>
        <v>0</v>
      </c>
      <c r="W36" s="5">
        <f>W14*(Inputs!$J$14+Inputs!$J$15*VLOOKUP('Harvest Lvl'!$C$4,StandInfo,11,FALSE))</f>
        <v>19.302604667822983</v>
      </c>
      <c r="X36" s="5">
        <f>X14*(Inputs!$J$14+Inputs!$J$15*VLOOKUP('Harvest Lvl'!$C$4,StandInfo,11,FALSE))</f>
        <v>0</v>
      </c>
      <c r="Y36" s="5">
        <f>Y14*(Inputs!$J$14+Inputs!$J$15*VLOOKUP('Harvest Lvl'!$C$4,StandInfo,11,FALSE))</f>
        <v>106.52165804057249</v>
      </c>
    </row>
    <row r="37" spans="1:27" x14ac:dyDescent="0.25">
      <c r="A37" s="9"/>
      <c r="B37" s="16" t="s">
        <v>71</v>
      </c>
      <c r="C37" s="20"/>
      <c r="D37" s="21"/>
      <c r="E37" s="19">
        <f>SUM(E29:E36)</f>
        <v>8665.2501866552375</v>
      </c>
      <c r="F37" s="19">
        <f t="shared" ref="F37:Y37" si="8">SUM(F29:F36)</f>
        <v>0</v>
      </c>
      <c r="G37" s="19">
        <f t="shared" si="8"/>
        <v>0</v>
      </c>
      <c r="H37" s="19">
        <f t="shared" si="8"/>
        <v>5665.2501866552384</v>
      </c>
      <c r="I37" s="19">
        <f t="shared" si="8"/>
        <v>0</v>
      </c>
      <c r="J37" s="19">
        <f t="shared" si="8"/>
        <v>0</v>
      </c>
      <c r="K37" s="19">
        <f t="shared" si="8"/>
        <v>5665.2501866552384</v>
      </c>
      <c r="L37" s="19">
        <f t="shared" si="8"/>
        <v>0</v>
      </c>
      <c r="M37" s="19">
        <f t="shared" si="8"/>
        <v>0</v>
      </c>
      <c r="N37" s="19">
        <f t="shared" si="8"/>
        <v>5665.2501866552384</v>
      </c>
      <c r="O37" s="19">
        <f t="shared" si="8"/>
        <v>0</v>
      </c>
      <c r="P37" s="19">
        <f t="shared" si="8"/>
        <v>0</v>
      </c>
      <c r="Q37" s="19">
        <f t="shared" si="8"/>
        <v>5665.2501866552384</v>
      </c>
      <c r="R37" s="19">
        <f t="shared" si="8"/>
        <v>0</v>
      </c>
      <c r="S37" s="19">
        <f t="shared" si="8"/>
        <v>0</v>
      </c>
      <c r="T37" s="19">
        <f t="shared" si="8"/>
        <v>5665.2501866552384</v>
      </c>
      <c r="U37" s="19">
        <f t="shared" si="8"/>
        <v>0</v>
      </c>
      <c r="V37" s="19">
        <f t="shared" si="8"/>
        <v>0</v>
      </c>
      <c r="W37" s="19">
        <f t="shared" si="8"/>
        <v>5665.2501866552384</v>
      </c>
      <c r="X37" s="19">
        <f t="shared" si="8"/>
        <v>0</v>
      </c>
      <c r="Y37" s="19">
        <f t="shared" si="8"/>
        <v>31263.751886456706</v>
      </c>
      <c r="AA37" s="66">
        <f>SUM(E37:Y37)</f>
        <v>73920.503193043376</v>
      </c>
    </row>
    <row r="38" spans="1:27" x14ac:dyDescent="0.25">
      <c r="A38" s="9"/>
      <c r="B38" s="10" t="s">
        <v>12</v>
      </c>
      <c r="C38" s="9"/>
      <c r="D38" s="23"/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</row>
    <row r="39" spans="1:27" x14ac:dyDescent="0.25">
      <c r="A39" s="9"/>
      <c r="B39" s="16" t="s">
        <v>13</v>
      </c>
      <c r="C39" s="20"/>
      <c r="D39" s="21"/>
      <c r="E39" s="19">
        <f>(E26-E37)*(1-E38)</f>
        <v>1268.8142090569054</v>
      </c>
      <c r="F39" s="19">
        <f t="shared" ref="F39:Y39" si="9">(F26-F37)*(1-F38)</f>
        <v>0</v>
      </c>
      <c r="G39" s="19">
        <f t="shared" si="9"/>
        <v>0</v>
      </c>
      <c r="H39" s="19">
        <f t="shared" si="9"/>
        <v>4268.8142090569045</v>
      </c>
      <c r="I39" s="19">
        <f t="shared" si="9"/>
        <v>0</v>
      </c>
      <c r="J39" s="19">
        <f t="shared" si="9"/>
        <v>0</v>
      </c>
      <c r="K39" s="19">
        <f t="shared" si="9"/>
        <v>4268.8142090569045</v>
      </c>
      <c r="L39" s="19">
        <f t="shared" si="9"/>
        <v>0</v>
      </c>
      <c r="M39" s="19">
        <f t="shared" si="9"/>
        <v>0</v>
      </c>
      <c r="N39" s="19">
        <f t="shared" si="9"/>
        <v>4268.8142090569045</v>
      </c>
      <c r="O39" s="19">
        <f t="shared" si="9"/>
        <v>0</v>
      </c>
      <c r="P39" s="19">
        <f t="shared" si="9"/>
        <v>0</v>
      </c>
      <c r="Q39" s="19">
        <f t="shared" si="9"/>
        <v>4268.8142090569045</v>
      </c>
      <c r="R39" s="19">
        <f t="shared" si="9"/>
        <v>0</v>
      </c>
      <c r="S39" s="19">
        <f t="shared" si="9"/>
        <v>0</v>
      </c>
      <c r="T39" s="19">
        <f t="shared" si="9"/>
        <v>4268.8142090569045</v>
      </c>
      <c r="U39" s="19">
        <f t="shared" si="9"/>
        <v>0</v>
      </c>
      <c r="V39" s="19">
        <f t="shared" si="9"/>
        <v>0</v>
      </c>
      <c r="W39" s="19">
        <f t="shared" si="9"/>
        <v>4268.8142090569045</v>
      </c>
      <c r="X39" s="19">
        <f t="shared" si="9"/>
        <v>0</v>
      </c>
      <c r="Y39" s="19">
        <f t="shared" si="9"/>
        <v>23557.503002374953</v>
      </c>
      <c r="AA39" s="66">
        <f>SUM(E39:Y39)</f>
        <v>50439.202465773284</v>
      </c>
    </row>
    <row r="40" spans="1:27" hidden="1" x14ac:dyDescent="0.25">
      <c r="A40" s="9"/>
      <c r="B40" s="9"/>
      <c r="C40" s="9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7" hidden="1" x14ac:dyDescent="0.25">
      <c r="A41" s="9"/>
      <c r="B41" s="1" t="s">
        <v>14</v>
      </c>
      <c r="C41" s="2"/>
      <c r="D41" s="12"/>
      <c r="E41" s="2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7" hidden="1" x14ac:dyDescent="0.25">
      <c r="A42" s="9"/>
      <c r="B42" s="10" t="s">
        <v>15</v>
      </c>
      <c r="C42" s="2"/>
      <c r="D42" s="12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7" hidden="1" x14ac:dyDescent="0.25">
      <c r="A43" s="2"/>
      <c r="B43" s="10" t="s">
        <v>16</v>
      </c>
      <c r="C43" s="2"/>
      <c r="D43" s="2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7" hidden="1" x14ac:dyDescent="0.25">
      <c r="A44" s="2"/>
      <c r="B44" s="10" t="s">
        <v>17</v>
      </c>
      <c r="C44" s="2"/>
      <c r="D44" s="29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7" hidden="1" x14ac:dyDescent="0.25">
      <c r="A45" s="2"/>
      <c r="B45" s="10" t="s">
        <v>18</v>
      </c>
      <c r="C45" s="2"/>
      <c r="D45" s="29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7" hidden="1" x14ac:dyDescent="0.25">
      <c r="A46" s="2"/>
      <c r="B46" s="10"/>
      <c r="C46" s="2"/>
      <c r="D46" s="29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7" hidden="1" x14ac:dyDescent="0.25">
      <c r="A47" s="9"/>
      <c r="B47" s="1" t="s">
        <v>19</v>
      </c>
      <c r="C47" s="2"/>
      <c r="D47" s="30"/>
      <c r="E47" s="25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7" hidden="1" x14ac:dyDescent="0.25">
      <c r="A48" s="9"/>
      <c r="B48" s="10" t="s">
        <v>20</v>
      </c>
      <c r="C48" s="2"/>
      <c r="D48" s="12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idden="1" x14ac:dyDescent="0.25">
      <c r="A49" s="9"/>
      <c r="B49" s="10" t="s">
        <v>21</v>
      </c>
      <c r="C49" s="2"/>
      <c r="D49" s="12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idden="1" x14ac:dyDescent="0.25">
      <c r="A50" s="9"/>
      <c r="B50" s="10" t="s">
        <v>22</v>
      </c>
      <c r="C50" s="2"/>
      <c r="D50" s="12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idden="1" x14ac:dyDescent="0.25">
      <c r="A51" s="9"/>
      <c r="B51" s="10" t="s">
        <v>23</v>
      </c>
      <c r="C51" s="2"/>
      <c r="D51" s="12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idden="1" x14ac:dyDescent="0.25">
      <c r="A52" s="9"/>
      <c r="B52" s="10" t="s">
        <v>24</v>
      </c>
      <c r="C52" s="2"/>
      <c r="D52" s="12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5" hidden="1" x14ac:dyDescent="0.25">
      <c r="A53" s="9"/>
      <c r="B53" s="10" t="s">
        <v>25</v>
      </c>
      <c r="C53" s="2"/>
      <c r="D53" s="12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5" hidden="1" x14ac:dyDescent="0.25">
      <c r="A54" s="9"/>
      <c r="B54" s="10" t="s">
        <v>26</v>
      </c>
      <c r="C54" s="2"/>
      <c r="D54" s="12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:25" hidden="1" x14ac:dyDescent="0.25">
      <c r="A55" s="9"/>
      <c r="B55" s="16" t="s">
        <v>27</v>
      </c>
      <c r="C55" s="20"/>
      <c r="D55" s="21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idden="1" x14ac:dyDescent="0.25">
      <c r="A56" s="9"/>
      <c r="B56" s="22"/>
      <c r="C56" s="9"/>
      <c r="D56" s="23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x14ac:dyDescent="0.25">
      <c r="A57" s="9"/>
      <c r="B57" s="1" t="s">
        <v>28</v>
      </c>
      <c r="C57" s="2"/>
      <c r="D57" s="30"/>
      <c r="E57" s="25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25" x14ac:dyDescent="0.25">
      <c r="A58" s="32"/>
      <c r="B58" s="3" t="s">
        <v>29</v>
      </c>
      <c r="C58" s="3"/>
      <c r="D58" s="3"/>
      <c r="E58" s="5">
        <f t="shared" ref="E58:X58" si="10">AnnualCost</f>
        <v>87</v>
      </c>
      <c r="F58" s="5">
        <f t="shared" si="10"/>
        <v>87</v>
      </c>
      <c r="G58" s="5">
        <f t="shared" si="10"/>
        <v>87</v>
      </c>
      <c r="H58" s="5">
        <f t="shared" si="10"/>
        <v>87</v>
      </c>
      <c r="I58" s="5">
        <f t="shared" si="10"/>
        <v>87</v>
      </c>
      <c r="J58" s="5">
        <f t="shared" si="10"/>
        <v>87</v>
      </c>
      <c r="K58" s="5">
        <f t="shared" si="10"/>
        <v>87</v>
      </c>
      <c r="L58" s="5">
        <f t="shared" si="10"/>
        <v>87</v>
      </c>
      <c r="M58" s="5">
        <f t="shared" si="10"/>
        <v>87</v>
      </c>
      <c r="N58" s="5">
        <f t="shared" si="10"/>
        <v>87</v>
      </c>
      <c r="O58" s="5">
        <f t="shared" si="10"/>
        <v>87</v>
      </c>
      <c r="P58" s="5">
        <f t="shared" si="10"/>
        <v>87</v>
      </c>
      <c r="Q58" s="5">
        <f t="shared" si="10"/>
        <v>87</v>
      </c>
      <c r="R58" s="5">
        <f t="shared" si="10"/>
        <v>87</v>
      </c>
      <c r="S58" s="5">
        <f t="shared" si="10"/>
        <v>87</v>
      </c>
      <c r="T58" s="5">
        <f t="shared" si="10"/>
        <v>87</v>
      </c>
      <c r="U58" s="5">
        <f t="shared" si="10"/>
        <v>87</v>
      </c>
      <c r="V58" s="5">
        <f t="shared" si="10"/>
        <v>87</v>
      </c>
      <c r="W58" s="5">
        <f t="shared" si="10"/>
        <v>87</v>
      </c>
      <c r="X58" s="5">
        <f t="shared" si="10"/>
        <v>87</v>
      </c>
      <c r="Y58" s="5">
        <v>0</v>
      </c>
    </row>
    <row r="59" spans="1:25" x14ac:dyDescent="0.25">
      <c r="A59" s="32"/>
      <c r="B59" s="3" t="s">
        <v>30</v>
      </c>
      <c r="C59" s="3"/>
      <c r="D59" s="3"/>
      <c r="E59" s="5">
        <f t="shared" ref="E59:X59" si="11">Rates</f>
        <v>10</v>
      </c>
      <c r="F59" s="5">
        <f t="shared" si="11"/>
        <v>10</v>
      </c>
      <c r="G59" s="5">
        <f t="shared" si="11"/>
        <v>10</v>
      </c>
      <c r="H59" s="5">
        <f t="shared" si="11"/>
        <v>10</v>
      </c>
      <c r="I59" s="5">
        <f t="shared" si="11"/>
        <v>10</v>
      </c>
      <c r="J59" s="5">
        <f t="shared" si="11"/>
        <v>10</v>
      </c>
      <c r="K59" s="5">
        <f t="shared" si="11"/>
        <v>10</v>
      </c>
      <c r="L59" s="5">
        <f t="shared" si="11"/>
        <v>10</v>
      </c>
      <c r="M59" s="5">
        <f t="shared" si="11"/>
        <v>10</v>
      </c>
      <c r="N59" s="5">
        <f t="shared" si="11"/>
        <v>10</v>
      </c>
      <c r="O59" s="5">
        <f t="shared" si="11"/>
        <v>10</v>
      </c>
      <c r="P59" s="5">
        <f t="shared" si="11"/>
        <v>10</v>
      </c>
      <c r="Q59" s="5">
        <f t="shared" si="11"/>
        <v>10</v>
      </c>
      <c r="R59" s="5">
        <f t="shared" si="11"/>
        <v>10</v>
      </c>
      <c r="S59" s="5">
        <f t="shared" si="11"/>
        <v>10</v>
      </c>
      <c r="T59" s="5">
        <f t="shared" si="11"/>
        <v>10</v>
      </c>
      <c r="U59" s="5">
        <f t="shared" si="11"/>
        <v>10</v>
      </c>
      <c r="V59" s="5">
        <f t="shared" si="11"/>
        <v>10</v>
      </c>
      <c r="W59" s="5">
        <f t="shared" si="11"/>
        <v>10</v>
      </c>
      <c r="X59" s="5">
        <f t="shared" si="11"/>
        <v>10</v>
      </c>
      <c r="Y59" s="5">
        <v>0</v>
      </c>
    </row>
    <row r="60" spans="1:25" x14ac:dyDescent="0.25">
      <c r="A60" s="32"/>
      <c r="B60" s="3" t="s">
        <v>31</v>
      </c>
      <c r="C60" s="3"/>
      <c r="D60" s="33"/>
      <c r="E60" s="5">
        <f t="shared" ref="E60:X60" si="12">LandRate</f>
        <v>70</v>
      </c>
      <c r="F60" s="5">
        <f t="shared" si="12"/>
        <v>70</v>
      </c>
      <c r="G60" s="5">
        <f t="shared" si="12"/>
        <v>70</v>
      </c>
      <c r="H60" s="5">
        <f t="shared" si="12"/>
        <v>70</v>
      </c>
      <c r="I60" s="5">
        <f t="shared" si="12"/>
        <v>70</v>
      </c>
      <c r="J60" s="5">
        <f t="shared" si="12"/>
        <v>70</v>
      </c>
      <c r="K60" s="5">
        <f t="shared" si="12"/>
        <v>70</v>
      </c>
      <c r="L60" s="5">
        <f t="shared" si="12"/>
        <v>70</v>
      </c>
      <c r="M60" s="5">
        <f t="shared" si="12"/>
        <v>70</v>
      </c>
      <c r="N60" s="5">
        <f t="shared" si="12"/>
        <v>70</v>
      </c>
      <c r="O60" s="5">
        <f t="shared" si="12"/>
        <v>70</v>
      </c>
      <c r="P60" s="5">
        <f t="shared" si="12"/>
        <v>70</v>
      </c>
      <c r="Q60" s="5">
        <f t="shared" si="12"/>
        <v>70</v>
      </c>
      <c r="R60" s="5">
        <f t="shared" si="12"/>
        <v>70</v>
      </c>
      <c r="S60" s="5">
        <f t="shared" si="12"/>
        <v>70</v>
      </c>
      <c r="T60" s="5">
        <f t="shared" si="12"/>
        <v>70</v>
      </c>
      <c r="U60" s="5">
        <f t="shared" si="12"/>
        <v>70</v>
      </c>
      <c r="V60" s="5">
        <f t="shared" si="12"/>
        <v>70</v>
      </c>
      <c r="W60" s="5">
        <f t="shared" si="12"/>
        <v>70</v>
      </c>
      <c r="X60" s="5">
        <f t="shared" si="12"/>
        <v>70</v>
      </c>
      <c r="Y60" s="5">
        <v>0</v>
      </c>
    </row>
    <row r="61" spans="1:25" x14ac:dyDescent="0.25">
      <c r="A61" s="32"/>
      <c r="B61" s="16" t="s">
        <v>70</v>
      </c>
      <c r="C61" s="20"/>
      <c r="D61" s="21"/>
      <c r="E61" s="19">
        <f>SUM(E58:E60)</f>
        <v>167</v>
      </c>
      <c r="F61" s="19">
        <f t="shared" ref="F61:Y61" si="13">SUM(F58:F60)</f>
        <v>167</v>
      </c>
      <c r="G61" s="19">
        <f t="shared" si="13"/>
        <v>167</v>
      </c>
      <c r="H61" s="19">
        <f t="shared" si="13"/>
        <v>167</v>
      </c>
      <c r="I61" s="19">
        <f t="shared" si="13"/>
        <v>167</v>
      </c>
      <c r="J61" s="19">
        <f t="shared" si="13"/>
        <v>167</v>
      </c>
      <c r="K61" s="19">
        <f t="shared" si="13"/>
        <v>167</v>
      </c>
      <c r="L61" s="19">
        <f t="shared" si="13"/>
        <v>167</v>
      </c>
      <c r="M61" s="19">
        <f t="shared" si="13"/>
        <v>167</v>
      </c>
      <c r="N61" s="19">
        <f t="shared" si="13"/>
        <v>167</v>
      </c>
      <c r="O61" s="19">
        <f t="shared" si="13"/>
        <v>167</v>
      </c>
      <c r="P61" s="19">
        <f t="shared" si="13"/>
        <v>167</v>
      </c>
      <c r="Q61" s="19">
        <f t="shared" si="13"/>
        <v>167</v>
      </c>
      <c r="R61" s="19">
        <f t="shared" si="13"/>
        <v>167</v>
      </c>
      <c r="S61" s="19">
        <f t="shared" si="13"/>
        <v>167</v>
      </c>
      <c r="T61" s="19">
        <f t="shared" si="13"/>
        <v>167</v>
      </c>
      <c r="U61" s="19">
        <f t="shared" si="13"/>
        <v>167</v>
      </c>
      <c r="V61" s="19">
        <f t="shared" si="13"/>
        <v>167</v>
      </c>
      <c r="W61" s="19">
        <f t="shared" si="13"/>
        <v>167</v>
      </c>
      <c r="X61" s="19">
        <f t="shared" si="13"/>
        <v>167</v>
      </c>
      <c r="Y61" s="19">
        <f t="shared" si="13"/>
        <v>0</v>
      </c>
    </row>
    <row r="62" spans="1:25" hidden="1" x14ac:dyDescent="0.25">
      <c r="A62" s="9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idden="1" x14ac:dyDescent="0.25">
      <c r="A63" s="32"/>
      <c r="B63" s="16" t="s">
        <v>32</v>
      </c>
      <c r="C63" s="20"/>
      <c r="D63" s="21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idden="1" x14ac:dyDescent="0.25">
      <c r="A64" s="9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8" x14ac:dyDescent="0.25">
      <c r="A65" s="32"/>
      <c r="B65" s="16" t="s">
        <v>72</v>
      </c>
      <c r="C65" s="20"/>
      <c r="D65" s="21"/>
      <c r="E65" s="19">
        <f t="shared" ref="E65:Y65" si="14">E39-E61</f>
        <v>1101.8142090569054</v>
      </c>
      <c r="F65" s="19">
        <f t="shared" si="14"/>
        <v>-167</v>
      </c>
      <c r="G65" s="19">
        <f t="shared" si="14"/>
        <v>-167</v>
      </c>
      <c r="H65" s="19">
        <f t="shared" si="14"/>
        <v>4101.8142090569045</v>
      </c>
      <c r="I65" s="19">
        <f t="shared" si="14"/>
        <v>-167</v>
      </c>
      <c r="J65" s="19">
        <f t="shared" si="14"/>
        <v>-167</v>
      </c>
      <c r="K65" s="19">
        <f t="shared" si="14"/>
        <v>4101.8142090569045</v>
      </c>
      <c r="L65" s="19">
        <f t="shared" si="14"/>
        <v>-167</v>
      </c>
      <c r="M65" s="19">
        <f t="shared" si="14"/>
        <v>-167</v>
      </c>
      <c r="N65" s="19">
        <f t="shared" si="14"/>
        <v>4101.8142090569045</v>
      </c>
      <c r="O65" s="19">
        <f t="shared" si="14"/>
        <v>-167</v>
      </c>
      <c r="P65" s="19">
        <f t="shared" si="14"/>
        <v>-167</v>
      </c>
      <c r="Q65" s="19">
        <f t="shared" si="14"/>
        <v>4101.8142090569045</v>
      </c>
      <c r="R65" s="19">
        <f t="shared" si="14"/>
        <v>-167</v>
      </c>
      <c r="S65" s="19">
        <f t="shared" si="14"/>
        <v>-167</v>
      </c>
      <c r="T65" s="19">
        <f t="shared" si="14"/>
        <v>4101.8142090569045</v>
      </c>
      <c r="U65" s="19">
        <f t="shared" si="14"/>
        <v>-167</v>
      </c>
      <c r="V65" s="19">
        <f t="shared" si="14"/>
        <v>-167</v>
      </c>
      <c r="W65" s="19">
        <f t="shared" si="14"/>
        <v>4101.8142090569045</v>
      </c>
      <c r="X65" s="19">
        <f t="shared" si="14"/>
        <v>-167</v>
      </c>
      <c r="Y65" s="19">
        <f t="shared" si="14"/>
        <v>23557.503002374953</v>
      </c>
      <c r="AA65" s="67" t="s">
        <v>100</v>
      </c>
      <c r="AB65" s="75" t="s">
        <v>144</v>
      </c>
    </row>
    <row r="66" spans="1:28" x14ac:dyDescent="0.25">
      <c r="A66" s="32"/>
      <c r="B66" s="40" t="s">
        <v>73</v>
      </c>
      <c r="C66" s="41"/>
      <c r="D66" s="42"/>
      <c r="E66" s="43">
        <f t="shared" ref="E66:Y66" si="15">E65/(1+DiscRate)^(E3-$E$3)</f>
        <v>1101.8142090569054</v>
      </c>
      <c r="F66" s="43">
        <f t="shared" si="15"/>
        <v>-154.62962962962962</v>
      </c>
      <c r="G66" s="43">
        <f t="shared" si="15"/>
        <v>-143.1755829903978</v>
      </c>
      <c r="H66" s="43">
        <f t="shared" si="15"/>
        <v>3256.1523658240167</v>
      </c>
      <c r="I66" s="43">
        <f t="shared" si="15"/>
        <v>-122.74998541700769</v>
      </c>
      <c r="J66" s="43">
        <f t="shared" si="15"/>
        <v>-113.65739390463675</v>
      </c>
      <c r="K66" s="43">
        <f t="shared" si="15"/>
        <v>2584.8387296652063</v>
      </c>
      <c r="L66" s="43">
        <f t="shared" si="15"/>
        <v>-97.442896008776344</v>
      </c>
      <c r="M66" s="43">
        <f t="shared" si="15"/>
        <v>-90.224903711829953</v>
      </c>
      <c r="N66" s="43">
        <f t="shared" si="15"/>
        <v>2051.9283214458587</v>
      </c>
      <c r="O66" s="43">
        <f t="shared" si="15"/>
        <v>-77.353312510142274</v>
      </c>
      <c r="P66" s="43">
        <f t="shared" si="15"/>
        <v>-71.623437509390996</v>
      </c>
      <c r="Q66" s="43">
        <f t="shared" si="15"/>
        <v>1628.8868578261211</v>
      </c>
      <c r="R66" s="43">
        <f t="shared" si="15"/>
        <v>-61.405553420259764</v>
      </c>
      <c r="S66" s="43">
        <f t="shared" si="15"/>
        <v>-56.856993907647919</v>
      </c>
      <c r="T66" s="43">
        <f t="shared" si="15"/>
        <v>1293.062904716412</v>
      </c>
      <c r="U66" s="43">
        <f t="shared" si="15"/>
        <v>-48.745708082688544</v>
      </c>
      <c r="V66" s="43">
        <f t="shared" si="15"/>
        <v>-45.13491489137828</v>
      </c>
      <c r="W66" s="43">
        <f t="shared" si="15"/>
        <v>1026.4750234310793</v>
      </c>
      <c r="X66" s="43">
        <f t="shared" si="15"/>
        <v>-38.695914687395636</v>
      </c>
      <c r="Y66" s="43">
        <f t="shared" si="15"/>
        <v>5458.5576432812441</v>
      </c>
      <c r="AA66" s="71">
        <f>SUM(E66:Y66)</f>
        <v>17280.019828575663</v>
      </c>
      <c r="AB66" s="71">
        <f>AA66*((1+Summary!D8)^'Harvest Lvl'!X4)/(((1+Summary!D8)^'Harvest Lvl'!X4)-1)</f>
        <v>17885.147892005749</v>
      </c>
    </row>
    <row r="68" spans="1:28" x14ac:dyDescent="0.25">
      <c r="B68" s="36"/>
      <c r="C68" s="47"/>
    </row>
    <row r="69" spans="1:28" ht="15.75" x14ac:dyDescent="0.25">
      <c r="C69" s="56"/>
      <c r="G69" s="35"/>
      <c r="I69" s="44"/>
    </row>
    <row r="70" spans="1:28" x14ac:dyDescent="0.25">
      <c r="B70" s="34"/>
    </row>
    <row r="71" spans="1:28" x14ac:dyDescent="0.25">
      <c r="B71" s="37"/>
    </row>
    <row r="72" spans="1:28" x14ac:dyDescent="0.25">
      <c r="K72" s="73"/>
    </row>
    <row r="73" spans="1:28" x14ac:dyDescent="0.25">
      <c r="K73" s="44"/>
    </row>
    <row r="74" spans="1:28" x14ac:dyDescent="0.25">
      <c r="K74" s="44"/>
    </row>
  </sheetData>
  <conditionalFormatting sqref="B61 B63 B37:B39 B4:B6 B65:B66 B55:B56 B41:B46 B26:B27">
    <cfRule type="cellIs" dxfId="23" priority="12" stopIfTrue="1" operator="equal">
      <formula>"hide this row"</formula>
    </cfRule>
  </conditionalFormatting>
  <conditionalFormatting sqref="B54">
    <cfRule type="cellIs" dxfId="22" priority="11" stopIfTrue="1" operator="equal">
      <formula>"hide this row"</formula>
    </cfRule>
  </conditionalFormatting>
  <conditionalFormatting sqref="B17">
    <cfRule type="cellIs" dxfId="21" priority="10" stopIfTrue="1" operator="equal">
      <formula>"hide this row"</formula>
    </cfRule>
  </conditionalFormatting>
  <conditionalFormatting sqref="B8:B11">
    <cfRule type="cellIs" dxfId="20" priority="9" stopIfTrue="1" operator="equal">
      <formula>"hide this row"</formula>
    </cfRule>
  </conditionalFormatting>
  <conditionalFormatting sqref="B53">
    <cfRule type="cellIs" dxfId="19" priority="8" stopIfTrue="1" operator="equal">
      <formula>"hide this row"</formula>
    </cfRule>
  </conditionalFormatting>
  <conditionalFormatting sqref="B12:B16 B18">
    <cfRule type="cellIs" dxfId="18" priority="7" stopIfTrue="1" operator="equal">
      <formula>"hide this row"</formula>
    </cfRule>
  </conditionalFormatting>
  <conditionalFormatting sqref="B48:B52">
    <cfRule type="cellIs" dxfId="17" priority="6" stopIfTrue="1" operator="equal">
      <formula>"hide this row"</formula>
    </cfRule>
  </conditionalFormatting>
  <conditionalFormatting sqref="B23:B25">
    <cfRule type="cellIs" dxfId="16" priority="4" stopIfTrue="1" operator="equal">
      <formula>"hide this row"</formula>
    </cfRule>
  </conditionalFormatting>
  <conditionalFormatting sqref="B19:B22">
    <cfRule type="cellIs" dxfId="15" priority="5" stopIfTrue="1" operator="equal">
      <formula>"hide this row"</formula>
    </cfRule>
  </conditionalFormatting>
  <conditionalFormatting sqref="W5">
    <cfRule type="cellIs" dxfId="14" priority="3" stopIfTrue="1" operator="equal">
      <formula>"hide this row"</formula>
    </cfRule>
  </conditionalFormatting>
  <conditionalFormatting sqref="AA65">
    <cfRule type="cellIs" dxfId="13" priority="2" stopIfTrue="1" operator="equal">
      <formula>"hide this row"</formula>
    </cfRule>
  </conditionalFormatting>
  <conditionalFormatting sqref="AB65">
    <cfRule type="cellIs" dxfId="12" priority="1" stopIfTrue="1" operator="equal">
      <formula>"hide this row"</formula>
    </cfRule>
  </conditionalFormatting>
  <pageMargins left="0.7" right="0.7" top="0.75" bottom="0.75" header="0.3" footer="0.3"/>
  <pageSetup paperSize="9" orientation="portrait" r:id="rId1"/>
  <ignoredErrors>
    <ignoredError sqref="F15:X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opLeftCell="A8" zoomScale="89" zoomScaleNormal="89" workbookViewId="0">
      <selection activeCell="G25" sqref="G25"/>
    </sheetView>
  </sheetViews>
  <sheetFormatPr defaultRowHeight="15" x14ac:dyDescent="0.25"/>
  <cols>
    <col min="1" max="1" width="2.5703125" customWidth="1"/>
    <col min="2" max="2" width="21.7109375" customWidth="1"/>
    <col min="3" max="3" width="10.7109375" customWidth="1"/>
    <col min="4" max="4" width="7.5703125" customWidth="1"/>
    <col min="5" max="14" width="10.7109375" customWidth="1"/>
    <col min="15" max="22" width="10.42578125" hidden="1" customWidth="1"/>
    <col min="23" max="23" width="11" hidden="1" customWidth="1"/>
    <col min="24" max="24" width="10.85546875" hidden="1" customWidth="1"/>
    <col min="25" max="25" width="10" customWidth="1"/>
    <col min="26" max="26" width="10.140625" bestFit="1" customWidth="1"/>
    <col min="28" max="29" width="0" hidden="1" customWidth="1"/>
    <col min="30" max="30" width="11.28515625" bestFit="1" customWidth="1"/>
  </cols>
  <sheetData>
    <row r="1" spans="1:25" hidden="1" x14ac:dyDescent="0.25">
      <c r="E1">
        <v>6</v>
      </c>
      <c r="F1">
        <v>7</v>
      </c>
      <c r="G1">
        <v>8</v>
      </c>
      <c r="H1">
        <v>9</v>
      </c>
      <c r="I1">
        <v>10</v>
      </c>
      <c r="J1">
        <v>11</v>
      </c>
      <c r="K1">
        <v>12</v>
      </c>
      <c r="L1">
        <v>13</v>
      </c>
      <c r="M1">
        <v>14</v>
      </c>
      <c r="N1">
        <v>15</v>
      </c>
      <c r="O1">
        <v>16</v>
      </c>
      <c r="P1">
        <v>17</v>
      </c>
      <c r="Q1">
        <v>18</v>
      </c>
      <c r="R1">
        <v>19</v>
      </c>
      <c r="S1">
        <v>20</v>
      </c>
      <c r="T1">
        <v>21</v>
      </c>
      <c r="U1">
        <v>22</v>
      </c>
      <c r="V1">
        <v>23</v>
      </c>
      <c r="W1">
        <v>24</v>
      </c>
      <c r="X1">
        <v>25</v>
      </c>
    </row>
    <row r="2" spans="1:25" ht="15.75" thickBot="1" x14ac:dyDescent="0.3">
      <c r="A2" s="1" t="s">
        <v>163</v>
      </c>
      <c r="B2" s="2"/>
      <c r="C2" s="3"/>
      <c r="D2" s="4"/>
      <c r="E2" s="2"/>
      <c r="F2" s="3"/>
      <c r="G2" s="5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5" x14ac:dyDescent="0.25">
      <c r="A3" s="6"/>
      <c r="B3" s="7"/>
      <c r="C3" s="8"/>
      <c r="D3" s="8" t="s">
        <v>158</v>
      </c>
      <c r="E3" s="6">
        <v>1</v>
      </c>
      <c r="F3" s="6">
        <f>E3+1</f>
        <v>2</v>
      </c>
      <c r="G3" s="6">
        <f t="shared" ref="G3:X4" si="0">F3+1</f>
        <v>3</v>
      </c>
      <c r="H3" s="6">
        <f t="shared" si="0"/>
        <v>4</v>
      </c>
      <c r="I3" s="6">
        <f t="shared" si="0"/>
        <v>5</v>
      </c>
      <c r="J3" s="6">
        <f t="shared" si="0"/>
        <v>6</v>
      </c>
      <c r="K3" s="6">
        <f t="shared" si="0"/>
        <v>7</v>
      </c>
      <c r="L3" s="6">
        <f t="shared" si="0"/>
        <v>8</v>
      </c>
      <c r="M3" s="6">
        <f t="shared" si="0"/>
        <v>9</v>
      </c>
      <c r="N3" s="6">
        <f t="shared" si="0"/>
        <v>10</v>
      </c>
      <c r="O3" s="6">
        <f t="shared" si="0"/>
        <v>11</v>
      </c>
      <c r="P3" s="6">
        <f t="shared" si="0"/>
        <v>12</v>
      </c>
      <c r="Q3" s="6">
        <f t="shared" si="0"/>
        <v>13</v>
      </c>
      <c r="R3" s="6">
        <f t="shared" si="0"/>
        <v>14</v>
      </c>
      <c r="S3" s="6">
        <f t="shared" si="0"/>
        <v>15</v>
      </c>
      <c r="T3" s="6">
        <f t="shared" si="0"/>
        <v>16</v>
      </c>
      <c r="U3" s="6">
        <f t="shared" si="0"/>
        <v>17</v>
      </c>
      <c r="V3" s="6">
        <f t="shared" si="0"/>
        <v>18</v>
      </c>
      <c r="W3" s="6">
        <f t="shared" si="0"/>
        <v>19</v>
      </c>
      <c r="X3" s="6">
        <f t="shared" si="0"/>
        <v>20</v>
      </c>
    </row>
    <row r="4" spans="1:25" x14ac:dyDescent="0.25">
      <c r="A4" s="9"/>
      <c r="B4" s="48" t="s">
        <v>82</v>
      </c>
      <c r="C4" s="46" t="str">
        <f>Summary!$D$4</f>
        <v>C</v>
      </c>
      <c r="D4" s="60" t="s">
        <v>103</v>
      </c>
      <c r="E4" s="61">
        <f>Inputs!E5</f>
        <v>25</v>
      </c>
      <c r="F4" s="61">
        <f>E4+1</f>
        <v>26</v>
      </c>
      <c r="G4" s="61">
        <f t="shared" si="0"/>
        <v>27</v>
      </c>
      <c r="H4" s="61">
        <f t="shared" si="0"/>
        <v>28</v>
      </c>
      <c r="I4" s="61">
        <f t="shared" si="0"/>
        <v>29</v>
      </c>
      <c r="J4" s="61">
        <f t="shared" si="0"/>
        <v>30</v>
      </c>
      <c r="K4" s="61">
        <f t="shared" si="0"/>
        <v>31</v>
      </c>
      <c r="L4" s="61">
        <f t="shared" si="0"/>
        <v>32</v>
      </c>
      <c r="M4" s="61">
        <f t="shared" si="0"/>
        <v>33</v>
      </c>
      <c r="N4" s="61">
        <f>M4+1</f>
        <v>34</v>
      </c>
      <c r="O4" s="61" t="e">
        <f>VLOOKUP($C$4,others!$B$11:$V$23,12,FALSE)</f>
        <v>#N/A</v>
      </c>
      <c r="P4" s="61" t="e">
        <f>VLOOKUP($C$4,others!$B$11:$V$23,13,FALSE)</f>
        <v>#N/A</v>
      </c>
      <c r="Q4" s="61" t="e">
        <f>VLOOKUP($C$4,others!$B$11:$V$23,14,FALSE)</f>
        <v>#N/A</v>
      </c>
      <c r="R4" s="61" t="e">
        <f>VLOOKUP($C$4,others!$B$11:$V$23,15,FALSE)</f>
        <v>#N/A</v>
      </c>
      <c r="S4" s="61" t="e">
        <f>VLOOKUP($C$4,others!$B$11:$V$23,16,FALSE)</f>
        <v>#N/A</v>
      </c>
      <c r="T4" s="61" t="e">
        <f>VLOOKUP($C$4,others!$B$11:$V$23,17,FALSE)</f>
        <v>#N/A</v>
      </c>
      <c r="U4" s="61" t="e">
        <f>VLOOKUP($C$4,others!$B$11:$V$23,18,FALSE)</f>
        <v>#N/A</v>
      </c>
      <c r="V4" s="61" t="e">
        <f>VLOOKUP($C$4,others!$B$11:$V$23,19,FALSE)</f>
        <v>#N/A</v>
      </c>
      <c r="W4" s="61" t="e">
        <f>VLOOKUP($C$4,others!$B$11:$V$23,20,FALSE)</f>
        <v>#N/A</v>
      </c>
      <c r="X4" s="61" t="e">
        <f>VLOOKUP($C$4,others!$B$11:$V$23,21,FALSE)</f>
        <v>#N/A</v>
      </c>
    </row>
    <row r="5" spans="1:25" x14ac:dyDescent="0.25">
      <c r="A5" s="9"/>
      <c r="B5" s="58" t="s">
        <v>105</v>
      </c>
      <c r="C5" s="59" t="s">
        <v>89</v>
      </c>
      <c r="D5" s="53" t="s">
        <v>141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7"/>
      <c r="X5" s="5"/>
    </row>
    <row r="6" spans="1:25" hidden="1" x14ac:dyDescent="0.25">
      <c r="A6" s="9"/>
      <c r="B6" s="49" t="s">
        <v>81</v>
      </c>
      <c r="C6" s="46" t="s">
        <v>94</v>
      </c>
      <c r="D6" s="53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5" x14ac:dyDescent="0.25">
      <c r="A7" s="9"/>
      <c r="B7" s="1" t="s">
        <v>56</v>
      </c>
      <c r="C7" s="2"/>
      <c r="D7" s="12"/>
      <c r="E7" s="1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5" x14ac:dyDescent="0.25">
      <c r="A8" s="2"/>
      <c r="B8" s="2" t="s">
        <v>1</v>
      </c>
      <c r="C8" s="14"/>
      <c r="D8" s="15"/>
      <c r="E8" s="28">
        <f t="shared" ref="E8:N14" si="1">VLOOKUP($C$4&amp;$C$6&amp;$C$5&amp;$B8,YieldTable,E$1,FALSE)</f>
        <v>167.6448</v>
      </c>
      <c r="F8" s="28">
        <f t="shared" si="1"/>
        <v>177.1097</v>
      </c>
      <c r="G8" s="28">
        <f t="shared" si="1"/>
        <v>186.6232</v>
      </c>
      <c r="H8" s="28">
        <f t="shared" si="1"/>
        <v>194.03020000000001</v>
      </c>
      <c r="I8" s="28">
        <f t="shared" si="1"/>
        <v>199.91839999999999</v>
      </c>
      <c r="J8" s="28">
        <f t="shared" si="1"/>
        <v>208.48740000000001</v>
      </c>
      <c r="K8" s="28">
        <f t="shared" si="1"/>
        <v>215.28829999999999</v>
      </c>
      <c r="L8" s="28">
        <f t="shared" si="1"/>
        <v>219.45740000000001</v>
      </c>
      <c r="M8" s="28">
        <f t="shared" si="1"/>
        <v>222.6163</v>
      </c>
      <c r="N8" s="28">
        <f t="shared" si="1"/>
        <v>225.42619999999999</v>
      </c>
      <c r="O8" s="28" t="e">
        <f>VLOOKUP($C$4&amp;$C$6&amp;$C$5&amp;$B8,#REF!,O$1,FALSE)</f>
        <v>#REF!</v>
      </c>
      <c r="P8" s="28" t="e">
        <f>VLOOKUP($C$4&amp;$C$6&amp;$C$5&amp;$B8,#REF!,P$1,FALSE)</f>
        <v>#REF!</v>
      </c>
      <c r="Q8" s="28" t="e">
        <f>VLOOKUP($C$4&amp;$C$6&amp;$C$5&amp;$B8,#REF!,Q$1,FALSE)</f>
        <v>#REF!</v>
      </c>
      <c r="R8" s="28" t="e">
        <f>VLOOKUP($C$4&amp;$C$6&amp;$C$5&amp;$B8,#REF!,R$1,FALSE)</f>
        <v>#REF!</v>
      </c>
      <c r="S8" s="28" t="e">
        <f>VLOOKUP($C$4&amp;$C$6&amp;$C$5&amp;$B8,#REF!,S$1,FALSE)</f>
        <v>#REF!</v>
      </c>
      <c r="T8" s="28" t="e">
        <f>VLOOKUP($C$4&amp;$C$6&amp;$C$5&amp;$B8,#REF!,T$1,FALSE)</f>
        <v>#REF!</v>
      </c>
      <c r="U8" s="28" t="e">
        <f>VLOOKUP($C$4&amp;$C$6&amp;$C$5&amp;$B8,#REF!,U$1,FALSE)</f>
        <v>#REF!</v>
      </c>
      <c r="V8" s="28" t="e">
        <f>VLOOKUP($C$4&amp;$C$6&amp;$C$5&amp;$B8,#REF!,V$1,FALSE)</f>
        <v>#REF!</v>
      </c>
      <c r="W8" s="28" t="e">
        <f>VLOOKUP($C$4&amp;$C$6&amp;$C$5&amp;$B8,#REF!,W$1,FALSE)</f>
        <v>#REF!</v>
      </c>
      <c r="X8" s="28" t="e">
        <f>VLOOKUP($C$4&amp;$C$6&amp;$C$5&amp;$B8,#REF!,X$1,FALSE)</f>
        <v>#REF!</v>
      </c>
      <c r="Y8" s="51"/>
    </row>
    <row r="9" spans="1:25" ht="13.5" customHeight="1" x14ac:dyDescent="0.25">
      <c r="A9" s="2"/>
      <c r="B9" s="2" t="s">
        <v>52</v>
      </c>
      <c r="C9" s="14"/>
      <c r="D9" s="15"/>
      <c r="E9" s="28">
        <f t="shared" si="1"/>
        <v>0</v>
      </c>
      <c r="F9" s="28">
        <f t="shared" si="1"/>
        <v>2.7817769999999999</v>
      </c>
      <c r="G9" s="28">
        <f t="shared" si="1"/>
        <v>5.6345599999999996</v>
      </c>
      <c r="H9" s="28">
        <f t="shared" si="1"/>
        <v>8.4388500000000004</v>
      </c>
      <c r="I9" s="28">
        <f t="shared" si="1"/>
        <v>13.92474</v>
      </c>
      <c r="J9" s="28">
        <f t="shared" si="1"/>
        <v>11.44956</v>
      </c>
      <c r="K9" s="28">
        <f t="shared" si="1"/>
        <v>14.411149999999999</v>
      </c>
      <c r="L9" s="28">
        <f t="shared" si="1"/>
        <v>22.27036</v>
      </c>
      <c r="M9" s="28">
        <f t="shared" si="1"/>
        <v>22.315449999999998</v>
      </c>
      <c r="N9" s="28">
        <f t="shared" si="1"/>
        <v>20.239619999999999</v>
      </c>
      <c r="O9" s="28" t="e">
        <f>VLOOKUP($C$4&amp;$C$6&amp;$C$5&amp;$B9,#REF!,O$1,FALSE)</f>
        <v>#REF!</v>
      </c>
      <c r="P9" s="28" t="e">
        <f>VLOOKUP($C$4&amp;$C$6&amp;$C$5&amp;$B9,#REF!,P$1,FALSE)</f>
        <v>#REF!</v>
      </c>
      <c r="Q9" s="28" t="e">
        <f>VLOOKUP($C$4&amp;$C$6&amp;$C$5&amp;$B9,#REF!,Q$1,FALSE)</f>
        <v>#REF!</v>
      </c>
      <c r="R9" s="28" t="e">
        <f>VLOOKUP($C$4&amp;$C$6&amp;$C$5&amp;$B9,#REF!,R$1,FALSE)</f>
        <v>#REF!</v>
      </c>
      <c r="S9" s="28" t="e">
        <f>VLOOKUP($C$4&amp;$C$6&amp;$C$5&amp;$B9,#REF!,S$1,FALSE)</f>
        <v>#REF!</v>
      </c>
      <c r="T9" s="28" t="e">
        <f>VLOOKUP($C$4&amp;$C$6&amp;$C$5&amp;$B9,#REF!,T$1,FALSE)</f>
        <v>#REF!</v>
      </c>
      <c r="U9" s="28" t="e">
        <f>VLOOKUP($C$4&amp;$C$6&amp;$C$5&amp;$B9,#REF!,U$1,FALSE)</f>
        <v>#REF!</v>
      </c>
      <c r="V9" s="28" t="e">
        <f>VLOOKUP($C$4&amp;$C$6&amp;$C$5&amp;$B9,#REF!,V$1,FALSE)</f>
        <v>#REF!</v>
      </c>
      <c r="W9" s="28" t="e">
        <f>VLOOKUP($C$4&amp;$C$6&amp;$C$5&amp;$B9,#REF!,W$1,FALSE)</f>
        <v>#REF!</v>
      </c>
      <c r="X9" s="28" t="e">
        <f>VLOOKUP($C$4&amp;$C$6&amp;$C$5&amp;$B9,#REF!,X$1,FALSE)</f>
        <v>#REF!</v>
      </c>
      <c r="Y9" s="51"/>
    </row>
    <row r="10" spans="1:25" x14ac:dyDescent="0.25">
      <c r="A10" s="2"/>
      <c r="B10" s="2" t="s">
        <v>2</v>
      </c>
      <c r="C10" s="14"/>
      <c r="D10" s="15"/>
      <c r="E10" s="28">
        <f t="shared" si="1"/>
        <v>144.51429999999999</v>
      </c>
      <c r="F10" s="28">
        <f t="shared" si="1"/>
        <v>154.18389999999999</v>
      </c>
      <c r="G10" s="28">
        <f t="shared" si="1"/>
        <v>162.96709999999999</v>
      </c>
      <c r="H10" s="28">
        <f t="shared" si="1"/>
        <v>174.7414</v>
      </c>
      <c r="I10" s="28">
        <f t="shared" si="1"/>
        <v>181.34450000000001</v>
      </c>
      <c r="J10" s="28">
        <f t="shared" si="1"/>
        <v>196.0728</v>
      </c>
      <c r="K10" s="28">
        <f t="shared" si="1"/>
        <v>200.06200000000001</v>
      </c>
      <c r="L10" s="28">
        <f t="shared" si="1"/>
        <v>198.58619999999999</v>
      </c>
      <c r="M10" s="28">
        <f t="shared" si="1"/>
        <v>208.4255</v>
      </c>
      <c r="N10" s="28">
        <f t="shared" si="1"/>
        <v>228.10169999999999</v>
      </c>
      <c r="O10" s="28" t="e">
        <f>VLOOKUP($C$4&amp;$C$6&amp;$C$5&amp;$B10,#REF!,O$1,FALSE)</f>
        <v>#REF!</v>
      </c>
      <c r="P10" s="28" t="e">
        <f>VLOOKUP($C$4&amp;$C$6&amp;$C$5&amp;$B10,#REF!,P$1,FALSE)</f>
        <v>#REF!</v>
      </c>
      <c r="Q10" s="28" t="e">
        <f>VLOOKUP($C$4&amp;$C$6&amp;$C$5&amp;$B10,#REF!,Q$1,FALSE)</f>
        <v>#REF!</v>
      </c>
      <c r="R10" s="28" t="e">
        <f>VLOOKUP($C$4&amp;$C$6&amp;$C$5&amp;$B10,#REF!,R$1,FALSE)</f>
        <v>#REF!</v>
      </c>
      <c r="S10" s="28" t="e">
        <f>VLOOKUP($C$4&amp;$C$6&amp;$C$5&amp;$B10,#REF!,S$1,FALSE)</f>
        <v>#REF!</v>
      </c>
      <c r="T10" s="28" t="e">
        <f>VLOOKUP($C$4&amp;$C$6&amp;$C$5&amp;$B10,#REF!,T$1,FALSE)</f>
        <v>#REF!</v>
      </c>
      <c r="U10" s="28" t="e">
        <f>VLOOKUP($C$4&amp;$C$6&amp;$C$5&amp;$B10,#REF!,U$1,FALSE)</f>
        <v>#REF!</v>
      </c>
      <c r="V10" s="28" t="e">
        <f>VLOOKUP($C$4&amp;$C$6&amp;$C$5&amp;$B10,#REF!,V$1,FALSE)</f>
        <v>#REF!</v>
      </c>
      <c r="W10" s="28" t="e">
        <f>VLOOKUP($C$4&amp;$C$6&amp;$C$5&amp;$B10,#REF!,W$1,FALSE)</f>
        <v>#REF!</v>
      </c>
      <c r="X10" s="28" t="e">
        <f>VLOOKUP($C$4&amp;$C$6&amp;$C$5&amp;$B10,#REF!,X$1,FALSE)</f>
        <v>#REF!</v>
      </c>
      <c r="Y10" s="51"/>
    </row>
    <row r="11" spans="1:25" x14ac:dyDescent="0.25">
      <c r="A11" s="2"/>
      <c r="B11" s="2" t="s">
        <v>3</v>
      </c>
      <c r="C11" s="14"/>
      <c r="D11" s="15"/>
      <c r="E11" s="28">
        <f t="shared" si="1"/>
        <v>79.289180000000002</v>
      </c>
      <c r="F11" s="28">
        <f t="shared" si="1"/>
        <v>79.360690000000005</v>
      </c>
      <c r="G11" s="28">
        <f t="shared" si="1"/>
        <v>76.886679999999998</v>
      </c>
      <c r="H11" s="28">
        <f t="shared" si="1"/>
        <v>83.116429999999994</v>
      </c>
      <c r="I11" s="28">
        <f t="shared" si="1"/>
        <v>76.06859</v>
      </c>
      <c r="J11" s="28">
        <f t="shared" si="1"/>
        <v>74.742919999999998</v>
      </c>
      <c r="K11" s="28">
        <f t="shared" si="1"/>
        <v>78.571079999999995</v>
      </c>
      <c r="L11" s="28">
        <f t="shared" si="1"/>
        <v>80.488619999999997</v>
      </c>
      <c r="M11" s="28">
        <f t="shared" si="1"/>
        <v>77.635409999999993</v>
      </c>
      <c r="N11" s="28">
        <f t="shared" si="1"/>
        <v>79.885140000000007</v>
      </c>
      <c r="O11" s="28" t="e">
        <f>VLOOKUP($C$4&amp;$C$6&amp;$C$5&amp;$B11,#REF!,O$1,FALSE)</f>
        <v>#REF!</v>
      </c>
      <c r="P11" s="28" t="e">
        <f>VLOOKUP($C$4&amp;$C$6&amp;$C$5&amp;$B11,#REF!,P$1,FALSE)</f>
        <v>#REF!</v>
      </c>
      <c r="Q11" s="28" t="e">
        <f>VLOOKUP($C$4&amp;$C$6&amp;$C$5&amp;$B11,#REF!,Q$1,FALSE)</f>
        <v>#REF!</v>
      </c>
      <c r="R11" s="28" t="e">
        <f>VLOOKUP($C$4&amp;$C$6&amp;$C$5&amp;$B11,#REF!,R$1,FALSE)</f>
        <v>#REF!</v>
      </c>
      <c r="S11" s="28" t="e">
        <f>VLOOKUP($C$4&amp;$C$6&amp;$C$5&amp;$B11,#REF!,S$1,FALSE)</f>
        <v>#REF!</v>
      </c>
      <c r="T11" s="28" t="e">
        <f>VLOOKUP($C$4&amp;$C$6&amp;$C$5&amp;$B11,#REF!,T$1,FALSE)</f>
        <v>#REF!</v>
      </c>
      <c r="U11" s="28" t="e">
        <f>VLOOKUP($C$4&amp;$C$6&amp;$C$5&amp;$B11,#REF!,U$1,FALSE)</f>
        <v>#REF!</v>
      </c>
      <c r="V11" s="28" t="e">
        <f>VLOOKUP($C$4&amp;$C$6&amp;$C$5&amp;$B11,#REF!,V$1,FALSE)</f>
        <v>#REF!</v>
      </c>
      <c r="W11" s="28" t="e">
        <f>VLOOKUP($C$4&amp;$C$6&amp;$C$5&amp;$B11,#REF!,W$1,FALSE)</f>
        <v>#REF!</v>
      </c>
      <c r="X11" s="28" t="e">
        <f>VLOOKUP($C$4&amp;$C$6&amp;$C$5&amp;$B11,#REF!,X$1,FALSE)</f>
        <v>#REF!</v>
      </c>
      <c r="Y11" s="51"/>
    </row>
    <row r="12" spans="1:25" x14ac:dyDescent="0.25">
      <c r="A12" s="2"/>
      <c r="B12" s="2" t="s">
        <v>4</v>
      </c>
      <c r="C12" s="14"/>
      <c r="D12" s="15"/>
      <c r="E12" s="28">
        <f t="shared" si="1"/>
        <v>155.774</v>
      </c>
      <c r="F12" s="28">
        <f t="shared" si="1"/>
        <v>162.86189999999999</v>
      </c>
      <c r="G12" s="28">
        <f t="shared" si="1"/>
        <v>173.2527</v>
      </c>
      <c r="H12" s="28">
        <f t="shared" si="1"/>
        <v>177.8134</v>
      </c>
      <c r="I12" s="28">
        <f t="shared" si="1"/>
        <v>189.10220000000001</v>
      </c>
      <c r="J12" s="28">
        <f t="shared" si="1"/>
        <v>193.6876</v>
      </c>
      <c r="K12" s="28">
        <f t="shared" si="1"/>
        <v>199.74889999999999</v>
      </c>
      <c r="L12" s="28">
        <f t="shared" si="1"/>
        <v>209.9032</v>
      </c>
      <c r="M12" s="28">
        <f t="shared" si="1"/>
        <v>226.9819</v>
      </c>
      <c r="N12" s="28">
        <f t="shared" si="1"/>
        <v>226.1352</v>
      </c>
      <c r="O12" s="28" t="e">
        <f>VLOOKUP($C$4&amp;$C$6&amp;$C$5&amp;$B12,#REF!,O$1,FALSE)</f>
        <v>#REF!</v>
      </c>
      <c r="P12" s="28" t="e">
        <f>VLOOKUP($C$4&amp;$C$6&amp;$C$5&amp;$B12,#REF!,P$1,FALSE)</f>
        <v>#REF!</v>
      </c>
      <c r="Q12" s="28" t="e">
        <f>VLOOKUP($C$4&amp;$C$6&amp;$C$5&amp;$B12,#REF!,Q$1,FALSE)</f>
        <v>#REF!</v>
      </c>
      <c r="R12" s="28" t="e">
        <f>VLOOKUP($C$4&amp;$C$6&amp;$C$5&amp;$B12,#REF!,R$1,FALSE)</f>
        <v>#REF!</v>
      </c>
      <c r="S12" s="28" t="e">
        <f>VLOOKUP($C$4&amp;$C$6&amp;$C$5&amp;$B12,#REF!,S$1,FALSE)</f>
        <v>#REF!</v>
      </c>
      <c r="T12" s="28" t="e">
        <f>VLOOKUP($C$4&amp;$C$6&amp;$C$5&amp;$B12,#REF!,T$1,FALSE)</f>
        <v>#REF!</v>
      </c>
      <c r="U12" s="28" t="e">
        <f>VLOOKUP($C$4&amp;$C$6&amp;$C$5&amp;$B12,#REF!,U$1,FALSE)</f>
        <v>#REF!</v>
      </c>
      <c r="V12" s="28" t="e">
        <f>VLOOKUP($C$4&amp;$C$6&amp;$C$5&amp;$B12,#REF!,V$1,FALSE)</f>
        <v>#REF!</v>
      </c>
      <c r="W12" s="28" t="e">
        <f>VLOOKUP($C$4&amp;$C$6&amp;$C$5&amp;$B12,#REF!,W$1,FALSE)</f>
        <v>#REF!</v>
      </c>
      <c r="X12" s="28" t="e">
        <f>VLOOKUP($C$4&amp;$C$6&amp;$C$5&amp;$B12,#REF!,X$1,FALSE)</f>
        <v>#REF!</v>
      </c>
      <c r="Y12" s="51"/>
    </row>
    <row r="13" spans="1:25" x14ac:dyDescent="0.25">
      <c r="A13" s="2"/>
      <c r="B13" s="2" t="s">
        <v>5</v>
      </c>
      <c r="C13" s="14"/>
      <c r="D13" s="15"/>
      <c r="E13" s="28">
        <f t="shared" si="1"/>
        <v>38.29589</v>
      </c>
      <c r="F13" s="28">
        <f t="shared" si="1"/>
        <v>39.79766</v>
      </c>
      <c r="G13" s="28">
        <f t="shared" si="1"/>
        <v>39.546390000000002</v>
      </c>
      <c r="H13" s="28">
        <f t="shared" si="1"/>
        <v>31.523040000000002</v>
      </c>
      <c r="I13" s="28">
        <f t="shared" si="1"/>
        <v>35.931559999999998</v>
      </c>
      <c r="J13" s="28">
        <f t="shared" si="1"/>
        <v>36.365650000000002</v>
      </c>
      <c r="K13" s="28">
        <f t="shared" si="1"/>
        <v>36.244340000000001</v>
      </c>
      <c r="L13" s="28">
        <f t="shared" si="1"/>
        <v>36.750399999999999</v>
      </c>
      <c r="M13" s="28">
        <f t="shared" si="1"/>
        <v>29.396100000000001</v>
      </c>
      <c r="N13" s="28">
        <f t="shared" si="1"/>
        <v>29.002490000000002</v>
      </c>
      <c r="O13" s="28" t="e">
        <f>VLOOKUP($C$4&amp;$C$6&amp;$C$5&amp;$B13,#REF!,O$1,FALSE)</f>
        <v>#REF!</v>
      </c>
      <c r="P13" s="28" t="e">
        <f>VLOOKUP($C$4&amp;$C$6&amp;$C$5&amp;$B13,#REF!,P$1,FALSE)</f>
        <v>#REF!</v>
      </c>
      <c r="Q13" s="28" t="e">
        <f>VLOOKUP($C$4&amp;$C$6&amp;$C$5&amp;$B13,#REF!,Q$1,FALSE)</f>
        <v>#REF!</v>
      </c>
      <c r="R13" s="28" t="e">
        <f>VLOOKUP($C$4&amp;$C$6&amp;$C$5&amp;$B13,#REF!,R$1,FALSE)</f>
        <v>#REF!</v>
      </c>
      <c r="S13" s="28" t="e">
        <f>VLOOKUP($C$4&amp;$C$6&amp;$C$5&amp;$B13,#REF!,S$1,FALSE)</f>
        <v>#REF!</v>
      </c>
      <c r="T13" s="28" t="e">
        <f>VLOOKUP($C$4&amp;$C$6&amp;$C$5&amp;$B13,#REF!,T$1,FALSE)</f>
        <v>#REF!</v>
      </c>
      <c r="U13" s="28" t="e">
        <f>VLOOKUP($C$4&amp;$C$6&amp;$C$5&amp;$B13,#REF!,U$1,FALSE)</f>
        <v>#REF!</v>
      </c>
      <c r="V13" s="28" t="e">
        <f>VLOOKUP($C$4&amp;$C$6&amp;$C$5&amp;$B13,#REF!,V$1,FALSE)</f>
        <v>#REF!</v>
      </c>
      <c r="W13" s="28" t="e">
        <f>VLOOKUP($C$4&amp;$C$6&amp;$C$5&amp;$B13,#REF!,W$1,FALSE)</f>
        <v>#REF!</v>
      </c>
      <c r="X13" s="28" t="e">
        <f>VLOOKUP($C$4&amp;$C$6&amp;$C$5&amp;$B13,#REF!,X$1,FALSE)</f>
        <v>#REF!</v>
      </c>
      <c r="Y13" s="51"/>
    </row>
    <row r="14" spans="1:25" x14ac:dyDescent="0.25">
      <c r="A14" s="2"/>
      <c r="B14" s="2" t="s">
        <v>6</v>
      </c>
      <c r="C14" s="14"/>
      <c r="D14" s="15"/>
      <c r="E14" s="28">
        <f t="shared" si="1"/>
        <v>16.28875</v>
      </c>
      <c r="F14" s="28">
        <f t="shared" si="1"/>
        <v>14.72498</v>
      </c>
      <c r="G14" s="28">
        <f t="shared" si="1"/>
        <v>12.66023</v>
      </c>
      <c r="H14" s="28">
        <f t="shared" si="1"/>
        <v>15.54256</v>
      </c>
      <c r="I14" s="28">
        <f t="shared" si="1"/>
        <v>15.9772</v>
      </c>
      <c r="J14" s="28">
        <f t="shared" si="1"/>
        <v>16.551390000000001</v>
      </c>
      <c r="K14" s="28">
        <f t="shared" si="1"/>
        <v>15.52825</v>
      </c>
      <c r="L14" s="28">
        <f t="shared" si="1"/>
        <v>15.59524</v>
      </c>
      <c r="M14" s="28">
        <f t="shared" si="1"/>
        <v>17.207439999999998</v>
      </c>
      <c r="N14" s="28">
        <f t="shared" si="1"/>
        <v>15.56377</v>
      </c>
      <c r="O14" s="28" t="e">
        <f>VLOOKUP($C$4&amp;$C$6&amp;$C$5&amp;$B14,#REF!,O$1,FALSE)</f>
        <v>#REF!</v>
      </c>
      <c r="P14" s="28" t="e">
        <f>VLOOKUP($C$4&amp;$C$6&amp;$C$5&amp;$B14,#REF!,P$1,FALSE)</f>
        <v>#REF!</v>
      </c>
      <c r="Q14" s="28" t="e">
        <f>VLOOKUP($C$4&amp;$C$6&amp;$C$5&amp;$B14,#REF!,Q$1,FALSE)</f>
        <v>#REF!</v>
      </c>
      <c r="R14" s="28" t="e">
        <f>VLOOKUP($C$4&amp;$C$6&amp;$C$5&amp;$B14,#REF!,R$1,FALSE)</f>
        <v>#REF!</v>
      </c>
      <c r="S14" s="28" t="e">
        <f>VLOOKUP($C$4&amp;$C$6&amp;$C$5&amp;$B14,#REF!,S$1,FALSE)</f>
        <v>#REF!</v>
      </c>
      <c r="T14" s="28" t="e">
        <f>VLOOKUP($C$4&amp;$C$6&amp;$C$5&amp;$B14,#REF!,T$1,FALSE)</f>
        <v>#REF!</v>
      </c>
      <c r="U14" s="28" t="e">
        <f>VLOOKUP($C$4&amp;$C$6&amp;$C$5&amp;$B14,#REF!,U$1,FALSE)</f>
        <v>#REF!</v>
      </c>
      <c r="V14" s="28" t="e">
        <f>VLOOKUP($C$4&amp;$C$6&amp;$C$5&amp;$B14,#REF!,V$1,FALSE)</f>
        <v>#REF!</v>
      </c>
      <c r="W14" s="28" t="e">
        <f>VLOOKUP($C$4&amp;$C$6&amp;$C$5&amp;$B14,#REF!,W$1,FALSE)</f>
        <v>#REF!</v>
      </c>
      <c r="X14" s="28" t="e">
        <f>VLOOKUP($C$4&amp;$C$6&amp;$C$5&amp;$B14,#REF!,X$1,FALSE)</f>
        <v>#REF!</v>
      </c>
      <c r="Y14" s="51"/>
    </row>
    <row r="15" spans="1:25" x14ac:dyDescent="0.25">
      <c r="A15" s="2"/>
      <c r="B15" s="50" t="s">
        <v>84</v>
      </c>
      <c r="C15" s="14"/>
      <c r="D15" s="15"/>
      <c r="E15" s="28">
        <f>IFERROR(E17/E16,0)</f>
        <v>1.557552539102488</v>
      </c>
      <c r="F15" s="28">
        <f>IFERROR(F17/F16,0)</f>
        <v>1.6419924752354256</v>
      </c>
      <c r="G15" s="28">
        <f t="shared" ref="G15:W15" si="2">IFERROR(G17/G16,0)</f>
        <v>1.7215946150739936</v>
      </c>
      <c r="H15" s="28">
        <f t="shared" si="2"/>
        <v>1.8045662297197695</v>
      </c>
      <c r="I15" s="28">
        <f t="shared" si="2"/>
        <v>1.8871030214594404</v>
      </c>
      <c r="J15" s="28">
        <f t="shared" si="2"/>
        <v>1.9654701198899989</v>
      </c>
      <c r="K15" s="28">
        <f t="shared" si="2"/>
        <v>2.0379177979952519</v>
      </c>
      <c r="L15" s="28">
        <f t="shared" si="2"/>
        <v>2.1132204343268843</v>
      </c>
      <c r="M15" s="28">
        <f t="shared" si="2"/>
        <v>2.1849847715490371</v>
      </c>
      <c r="N15" s="28">
        <f t="shared" si="2"/>
        <v>2.2529173152284367</v>
      </c>
      <c r="O15" s="28">
        <f t="shared" si="2"/>
        <v>0</v>
      </c>
      <c r="P15" s="28">
        <f t="shared" si="2"/>
        <v>0</v>
      </c>
      <c r="Q15" s="28">
        <f t="shared" si="2"/>
        <v>0</v>
      </c>
      <c r="R15" s="28">
        <f t="shared" si="2"/>
        <v>0</v>
      </c>
      <c r="S15" s="28">
        <f t="shared" si="2"/>
        <v>0</v>
      </c>
      <c r="T15" s="28">
        <f t="shared" si="2"/>
        <v>0</v>
      </c>
      <c r="U15" s="28">
        <f t="shared" si="2"/>
        <v>0</v>
      </c>
      <c r="V15" s="28">
        <f t="shared" si="2"/>
        <v>0</v>
      </c>
      <c r="W15" s="28">
        <f t="shared" si="2"/>
        <v>0</v>
      </c>
      <c r="X15" s="28">
        <f>IFERROR(X17/X16,0)</f>
        <v>0</v>
      </c>
      <c r="Y15" s="54"/>
    </row>
    <row r="16" spans="1:25" x14ac:dyDescent="0.25">
      <c r="A16" s="2"/>
      <c r="B16" s="50" t="s">
        <v>85</v>
      </c>
      <c r="C16" s="14"/>
      <c r="D16" s="15"/>
      <c r="E16" s="28">
        <f>VLOOKUP($C$4&amp;$C$6&amp;$C$5&amp;$B16,YieldTable,E$1,FALSE)</f>
        <v>386.37985229492199</v>
      </c>
      <c r="F16" s="28">
        <f>VLOOKUP($C$4&amp;$C$6&amp;$C$5&amp;$B16,YieldTable,F$1,FALSE)</f>
        <v>384.17996215820301</v>
      </c>
      <c r="G16" s="28">
        <f t="shared" ref="G16:N16" si="3">VLOOKUP($C$4&amp;$C$6&amp;$C$5&amp;$B16,YieldTable,G$1,FALSE)</f>
        <v>381.95452880859398</v>
      </c>
      <c r="H16" s="28">
        <f t="shared" si="3"/>
        <v>379.70669555664102</v>
      </c>
      <c r="I16" s="28">
        <f t="shared" si="3"/>
        <v>377.43948364257801</v>
      </c>
      <c r="J16" s="28">
        <f t="shared" si="3"/>
        <v>375.15570068359398</v>
      </c>
      <c r="K16" s="28">
        <f t="shared" si="3"/>
        <v>372.85803222656301</v>
      </c>
      <c r="L16" s="28">
        <f t="shared" si="3"/>
        <v>370.54885864257801</v>
      </c>
      <c r="M16" s="28">
        <f t="shared" si="3"/>
        <v>368.23052978515602</v>
      </c>
      <c r="N16" s="28">
        <f t="shared" si="3"/>
        <v>365.90518188476602</v>
      </c>
      <c r="O16" s="28" t="e">
        <f>VLOOKUP($C$4&amp;$C$6&amp;$C$5&amp;$B16,#REF!,O$1,FALSE)</f>
        <v>#REF!</v>
      </c>
      <c r="P16" s="28" t="e">
        <f>VLOOKUP($C$4&amp;$C$6&amp;$C$5&amp;$B16,#REF!,P$1,FALSE)</f>
        <v>#REF!</v>
      </c>
      <c r="Q16" s="28" t="e">
        <f>VLOOKUP($C$4&amp;$C$6&amp;$C$5&amp;$B16,#REF!,Q$1,FALSE)</f>
        <v>#REF!</v>
      </c>
      <c r="R16" s="28" t="e">
        <f>VLOOKUP($C$4&amp;$C$6&amp;$C$5&amp;$B16,#REF!,R$1,FALSE)</f>
        <v>#REF!</v>
      </c>
      <c r="S16" s="28" t="e">
        <f>VLOOKUP($C$4&amp;$C$6&amp;$C$5&amp;$B16,#REF!,S$1,FALSE)</f>
        <v>#REF!</v>
      </c>
      <c r="T16" s="28" t="e">
        <f>VLOOKUP($C$4&amp;$C$6&amp;$C$5&amp;$B16,#REF!,T$1,FALSE)</f>
        <v>#REF!</v>
      </c>
      <c r="U16" s="28" t="e">
        <f>VLOOKUP($C$4&amp;$C$6&amp;$C$5&amp;$B16,#REF!,U$1,FALSE)</f>
        <v>#REF!</v>
      </c>
      <c r="V16" s="28" t="e">
        <f>VLOOKUP($C$4&amp;$C$6&amp;$C$5&amp;$B16,#REF!,V$1,FALSE)</f>
        <v>#REF!</v>
      </c>
      <c r="W16" s="28" t="e">
        <f>VLOOKUP($C$4&amp;$C$6&amp;$C$5&amp;$B16,#REF!,W$1,FALSE)</f>
        <v>#REF!</v>
      </c>
      <c r="X16" s="28" t="e">
        <f>VLOOKUP($C$4&amp;$C$6&amp;$C$5&amp;$B16,#REF!,X$1,FALSE)</f>
        <v>#REF!</v>
      </c>
      <c r="Y16" s="54"/>
    </row>
    <row r="17" spans="1:24" x14ac:dyDescent="0.25">
      <c r="A17" s="2"/>
      <c r="B17" s="16" t="s">
        <v>59</v>
      </c>
      <c r="C17" s="17"/>
      <c r="D17" s="18"/>
      <c r="E17" s="38">
        <f>SUM(E8:E14)</f>
        <v>601.80691999999999</v>
      </c>
      <c r="F17" s="38">
        <f>SUM(F8:F14)</f>
        <v>630.82060699999988</v>
      </c>
      <c r="G17" s="38">
        <f t="shared" ref="G17:X17" si="4">SUM(G8:G14)</f>
        <v>657.57085999999993</v>
      </c>
      <c r="H17" s="38">
        <f t="shared" si="4"/>
        <v>685.20588000000009</v>
      </c>
      <c r="I17" s="38">
        <f>SUM(I8:I14)</f>
        <v>712.26719000000003</v>
      </c>
      <c r="J17" s="38">
        <f>SUM(J8:J14)</f>
        <v>737.35731999999996</v>
      </c>
      <c r="K17" s="38">
        <f t="shared" si="4"/>
        <v>759.85401999999988</v>
      </c>
      <c r="L17" s="38">
        <f t="shared" si="4"/>
        <v>783.05142000000001</v>
      </c>
      <c r="M17" s="38">
        <f t="shared" si="4"/>
        <v>804.57810000000006</v>
      </c>
      <c r="N17" s="38">
        <f t="shared" si="4"/>
        <v>824.35411999999985</v>
      </c>
      <c r="O17" s="38" t="e">
        <f t="shared" si="4"/>
        <v>#REF!</v>
      </c>
      <c r="P17" s="38" t="e">
        <f t="shared" si="4"/>
        <v>#REF!</v>
      </c>
      <c r="Q17" s="38" t="e">
        <f t="shared" si="4"/>
        <v>#REF!</v>
      </c>
      <c r="R17" s="38" t="e">
        <f t="shared" si="4"/>
        <v>#REF!</v>
      </c>
      <c r="S17" s="38" t="e">
        <f t="shared" si="4"/>
        <v>#REF!</v>
      </c>
      <c r="T17" s="38" t="e">
        <f t="shared" si="4"/>
        <v>#REF!</v>
      </c>
      <c r="U17" s="38" t="e">
        <f t="shared" si="4"/>
        <v>#REF!</v>
      </c>
      <c r="V17" s="38" t="e">
        <f t="shared" si="4"/>
        <v>#REF!</v>
      </c>
      <c r="W17" s="38" t="e">
        <f t="shared" si="4"/>
        <v>#REF!</v>
      </c>
      <c r="X17" s="38" t="e">
        <f t="shared" si="4"/>
        <v>#REF!</v>
      </c>
    </row>
    <row r="18" spans="1:24" x14ac:dyDescent="0.25">
      <c r="A18" s="2"/>
      <c r="B18" s="22"/>
      <c r="C18" s="5"/>
      <c r="D18" s="15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3"/>
      <c r="P18" s="83"/>
      <c r="Q18" s="83"/>
      <c r="R18" s="83"/>
      <c r="S18" s="83"/>
      <c r="T18" s="83"/>
      <c r="U18" s="83"/>
      <c r="V18" s="83"/>
      <c r="W18" s="83"/>
      <c r="X18" s="83"/>
    </row>
    <row r="19" spans="1:24" x14ac:dyDescent="0.25">
      <c r="A19" s="9"/>
      <c r="B19" s="1" t="s">
        <v>57</v>
      </c>
      <c r="C19" s="2"/>
      <c r="D19" s="12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24" x14ac:dyDescent="0.25">
      <c r="A20" s="9"/>
      <c r="B20" s="2" t="s">
        <v>1</v>
      </c>
      <c r="C20" s="2"/>
      <c r="D20" s="12"/>
      <c r="E20" s="5">
        <f t="shared" ref="E20:N26" si="5">VLOOKUP($B20,Log_prices,2,FALSE)</f>
        <v>183.1</v>
      </c>
      <c r="F20" s="5">
        <f t="shared" si="5"/>
        <v>183.1</v>
      </c>
      <c r="G20" s="5">
        <f t="shared" si="5"/>
        <v>183.1</v>
      </c>
      <c r="H20" s="5">
        <f t="shared" si="5"/>
        <v>183.1</v>
      </c>
      <c r="I20" s="5">
        <f t="shared" si="5"/>
        <v>183.1</v>
      </c>
      <c r="J20" s="5">
        <f t="shared" si="5"/>
        <v>183.1</v>
      </c>
      <c r="K20" s="5">
        <f t="shared" si="5"/>
        <v>183.1</v>
      </c>
      <c r="L20" s="5">
        <f t="shared" si="5"/>
        <v>183.1</v>
      </c>
      <c r="M20" s="5">
        <f t="shared" si="5"/>
        <v>183.1</v>
      </c>
      <c r="N20" s="5">
        <f t="shared" si="5"/>
        <v>183.1</v>
      </c>
      <c r="O20" s="28" t="e">
        <f>#REF!</f>
        <v>#REF!</v>
      </c>
      <c r="P20" s="28" t="e">
        <f>#REF!</f>
        <v>#REF!</v>
      </c>
      <c r="Q20" s="28" t="e">
        <f>#REF!</f>
        <v>#REF!</v>
      </c>
      <c r="R20" s="28" t="e">
        <f>#REF!</f>
        <v>#REF!</v>
      </c>
      <c r="S20" s="28" t="e">
        <f>#REF!</f>
        <v>#REF!</v>
      </c>
      <c r="T20" s="28" t="e">
        <f>#REF!</f>
        <v>#REF!</v>
      </c>
      <c r="U20" s="28" t="e">
        <f>#REF!</f>
        <v>#REF!</v>
      </c>
      <c r="V20" s="28" t="e">
        <f>#REF!</f>
        <v>#REF!</v>
      </c>
      <c r="W20" s="28" t="e">
        <f>#REF!</f>
        <v>#REF!</v>
      </c>
      <c r="X20" s="28" t="e">
        <f>#REF!</f>
        <v>#REF!</v>
      </c>
    </row>
    <row r="21" spans="1:24" x14ac:dyDescent="0.25">
      <c r="A21" s="9"/>
      <c r="B21" s="2" t="s">
        <v>52</v>
      </c>
      <c r="C21" s="2"/>
      <c r="D21" s="12"/>
      <c r="E21" s="5">
        <f t="shared" si="5"/>
        <v>140.1</v>
      </c>
      <c r="F21" s="5">
        <f t="shared" si="5"/>
        <v>140.1</v>
      </c>
      <c r="G21" s="5">
        <f t="shared" si="5"/>
        <v>140.1</v>
      </c>
      <c r="H21" s="5">
        <f t="shared" si="5"/>
        <v>140.1</v>
      </c>
      <c r="I21" s="5">
        <f t="shared" si="5"/>
        <v>140.1</v>
      </c>
      <c r="J21" s="5">
        <f t="shared" si="5"/>
        <v>140.1</v>
      </c>
      <c r="K21" s="5">
        <f t="shared" si="5"/>
        <v>140.1</v>
      </c>
      <c r="L21" s="5">
        <f t="shared" si="5"/>
        <v>140.1</v>
      </c>
      <c r="M21" s="5">
        <f t="shared" si="5"/>
        <v>140.1</v>
      </c>
      <c r="N21" s="5">
        <f t="shared" si="5"/>
        <v>140.1</v>
      </c>
      <c r="O21" s="28" t="e">
        <f>#REF!</f>
        <v>#REF!</v>
      </c>
      <c r="P21" s="28" t="e">
        <f>#REF!</f>
        <v>#REF!</v>
      </c>
      <c r="Q21" s="28" t="e">
        <f>#REF!</f>
        <v>#REF!</v>
      </c>
      <c r="R21" s="28" t="e">
        <f>#REF!</f>
        <v>#REF!</v>
      </c>
      <c r="S21" s="28" t="e">
        <f>#REF!</f>
        <v>#REF!</v>
      </c>
      <c r="T21" s="28" t="e">
        <f>#REF!</f>
        <v>#REF!</v>
      </c>
      <c r="U21" s="28" t="e">
        <f>#REF!</f>
        <v>#REF!</v>
      </c>
      <c r="V21" s="28" t="e">
        <f>#REF!</f>
        <v>#REF!</v>
      </c>
      <c r="W21" s="28" t="e">
        <f>#REF!</f>
        <v>#REF!</v>
      </c>
      <c r="X21" s="28" t="e">
        <f>#REF!</f>
        <v>#REF!</v>
      </c>
    </row>
    <row r="22" spans="1:24" x14ac:dyDescent="0.25">
      <c r="A22" s="9"/>
      <c r="B22" s="2" t="s">
        <v>2</v>
      </c>
      <c r="C22" s="2"/>
      <c r="D22" s="12"/>
      <c r="E22" s="5">
        <f t="shared" si="5"/>
        <v>139.69999999999999</v>
      </c>
      <c r="F22" s="5">
        <f t="shared" si="5"/>
        <v>139.69999999999999</v>
      </c>
      <c r="G22" s="5">
        <f t="shared" si="5"/>
        <v>139.69999999999999</v>
      </c>
      <c r="H22" s="5">
        <f t="shared" si="5"/>
        <v>139.69999999999999</v>
      </c>
      <c r="I22" s="5">
        <f t="shared" si="5"/>
        <v>139.69999999999999</v>
      </c>
      <c r="J22" s="5">
        <f t="shared" si="5"/>
        <v>139.69999999999999</v>
      </c>
      <c r="K22" s="5">
        <f t="shared" si="5"/>
        <v>139.69999999999999</v>
      </c>
      <c r="L22" s="5">
        <f t="shared" si="5"/>
        <v>139.69999999999999</v>
      </c>
      <c r="M22" s="5">
        <f t="shared" si="5"/>
        <v>139.69999999999999</v>
      </c>
      <c r="N22" s="5">
        <f t="shared" si="5"/>
        <v>139.69999999999999</v>
      </c>
      <c r="O22" s="28" t="e">
        <f>#REF!</f>
        <v>#REF!</v>
      </c>
      <c r="P22" s="28" t="e">
        <f>#REF!</f>
        <v>#REF!</v>
      </c>
      <c r="Q22" s="28" t="e">
        <f>#REF!</f>
        <v>#REF!</v>
      </c>
      <c r="R22" s="28" t="e">
        <f>#REF!</f>
        <v>#REF!</v>
      </c>
      <c r="S22" s="28" t="e">
        <f>#REF!</f>
        <v>#REF!</v>
      </c>
      <c r="T22" s="28" t="e">
        <f>#REF!</f>
        <v>#REF!</v>
      </c>
      <c r="U22" s="28" t="e">
        <f>#REF!</f>
        <v>#REF!</v>
      </c>
      <c r="V22" s="28" t="e">
        <f>#REF!</f>
        <v>#REF!</v>
      </c>
      <c r="W22" s="28" t="e">
        <f>#REF!</f>
        <v>#REF!</v>
      </c>
      <c r="X22" s="28" t="e">
        <f>#REF!</f>
        <v>#REF!</v>
      </c>
    </row>
    <row r="23" spans="1:24" x14ac:dyDescent="0.25">
      <c r="A23" s="9"/>
      <c r="B23" s="2" t="s">
        <v>3</v>
      </c>
      <c r="C23" s="2"/>
      <c r="D23" s="12"/>
      <c r="E23" s="5">
        <f t="shared" si="5"/>
        <v>128.4</v>
      </c>
      <c r="F23" s="5">
        <f t="shared" si="5"/>
        <v>128.4</v>
      </c>
      <c r="G23" s="5">
        <f t="shared" si="5"/>
        <v>128.4</v>
      </c>
      <c r="H23" s="5">
        <f t="shared" si="5"/>
        <v>128.4</v>
      </c>
      <c r="I23" s="5">
        <f t="shared" si="5"/>
        <v>128.4</v>
      </c>
      <c r="J23" s="5">
        <f t="shared" si="5"/>
        <v>128.4</v>
      </c>
      <c r="K23" s="5">
        <f t="shared" si="5"/>
        <v>128.4</v>
      </c>
      <c r="L23" s="5">
        <f t="shared" si="5"/>
        <v>128.4</v>
      </c>
      <c r="M23" s="5">
        <f t="shared" si="5"/>
        <v>128.4</v>
      </c>
      <c r="N23" s="5">
        <f t="shared" si="5"/>
        <v>128.4</v>
      </c>
      <c r="O23" s="28" t="e">
        <f>#REF!</f>
        <v>#REF!</v>
      </c>
      <c r="P23" s="28" t="e">
        <f>#REF!</f>
        <v>#REF!</v>
      </c>
      <c r="Q23" s="28" t="e">
        <f>#REF!</f>
        <v>#REF!</v>
      </c>
      <c r="R23" s="28" t="e">
        <f>#REF!</f>
        <v>#REF!</v>
      </c>
      <c r="S23" s="28" t="e">
        <f>#REF!</f>
        <v>#REF!</v>
      </c>
      <c r="T23" s="28" t="e">
        <f>#REF!</f>
        <v>#REF!</v>
      </c>
      <c r="U23" s="28" t="e">
        <f>#REF!</f>
        <v>#REF!</v>
      </c>
      <c r="V23" s="28" t="e">
        <f>#REF!</f>
        <v>#REF!</v>
      </c>
      <c r="W23" s="28" t="e">
        <f>#REF!</f>
        <v>#REF!</v>
      </c>
      <c r="X23" s="28" t="e">
        <f>#REF!</f>
        <v>#REF!</v>
      </c>
    </row>
    <row r="24" spans="1:24" x14ac:dyDescent="0.25">
      <c r="A24" s="9"/>
      <c r="B24" s="2" t="s">
        <v>4</v>
      </c>
      <c r="C24" s="2"/>
      <c r="D24" s="12"/>
      <c r="E24" s="5">
        <f t="shared" si="5"/>
        <v>116.4</v>
      </c>
      <c r="F24" s="5">
        <f t="shared" si="5"/>
        <v>116.4</v>
      </c>
      <c r="G24" s="5">
        <f t="shared" si="5"/>
        <v>116.4</v>
      </c>
      <c r="H24" s="5">
        <f t="shared" si="5"/>
        <v>116.4</v>
      </c>
      <c r="I24" s="5">
        <f t="shared" si="5"/>
        <v>116.4</v>
      </c>
      <c r="J24" s="5">
        <f t="shared" si="5"/>
        <v>116.4</v>
      </c>
      <c r="K24" s="5">
        <f t="shared" si="5"/>
        <v>116.4</v>
      </c>
      <c r="L24" s="5">
        <f t="shared" si="5"/>
        <v>116.4</v>
      </c>
      <c r="M24" s="5">
        <f t="shared" si="5"/>
        <v>116.4</v>
      </c>
      <c r="N24" s="5">
        <f t="shared" si="5"/>
        <v>116.4</v>
      </c>
      <c r="O24" s="28" t="e">
        <f>#REF!</f>
        <v>#REF!</v>
      </c>
      <c r="P24" s="28" t="e">
        <f>#REF!</f>
        <v>#REF!</v>
      </c>
      <c r="Q24" s="28" t="e">
        <f>#REF!</f>
        <v>#REF!</v>
      </c>
      <c r="R24" s="28" t="e">
        <f>#REF!</f>
        <v>#REF!</v>
      </c>
      <c r="S24" s="28" t="e">
        <f>#REF!</f>
        <v>#REF!</v>
      </c>
      <c r="T24" s="28" t="e">
        <f>#REF!</f>
        <v>#REF!</v>
      </c>
      <c r="U24" s="28" t="e">
        <f>#REF!</f>
        <v>#REF!</v>
      </c>
      <c r="V24" s="28" t="e">
        <f>#REF!</f>
        <v>#REF!</v>
      </c>
      <c r="W24" s="28" t="e">
        <f>#REF!</f>
        <v>#REF!</v>
      </c>
      <c r="X24" s="28" t="e">
        <f>#REF!</f>
        <v>#REF!</v>
      </c>
    </row>
    <row r="25" spans="1:24" x14ac:dyDescent="0.25">
      <c r="A25" s="9"/>
      <c r="B25" s="2" t="s">
        <v>5</v>
      </c>
      <c r="C25" s="2"/>
      <c r="D25" s="12"/>
      <c r="E25" s="5">
        <f t="shared" si="5"/>
        <v>102.1</v>
      </c>
      <c r="F25" s="5">
        <f t="shared" si="5"/>
        <v>102.1</v>
      </c>
      <c r="G25" s="5">
        <f t="shared" si="5"/>
        <v>102.1</v>
      </c>
      <c r="H25" s="5">
        <f t="shared" si="5"/>
        <v>102.1</v>
      </c>
      <c r="I25" s="5">
        <f t="shared" si="5"/>
        <v>102.1</v>
      </c>
      <c r="J25" s="5">
        <f t="shared" si="5"/>
        <v>102.1</v>
      </c>
      <c r="K25" s="5">
        <f t="shared" si="5"/>
        <v>102.1</v>
      </c>
      <c r="L25" s="5">
        <f t="shared" si="5"/>
        <v>102.1</v>
      </c>
      <c r="M25" s="5">
        <f t="shared" si="5"/>
        <v>102.1</v>
      </c>
      <c r="N25" s="5">
        <f t="shared" si="5"/>
        <v>102.1</v>
      </c>
      <c r="O25" s="28" t="e">
        <f>#REF!</f>
        <v>#REF!</v>
      </c>
      <c r="P25" s="28" t="e">
        <f>#REF!</f>
        <v>#REF!</v>
      </c>
      <c r="Q25" s="28" t="e">
        <f>#REF!</f>
        <v>#REF!</v>
      </c>
      <c r="R25" s="28" t="e">
        <f>#REF!</f>
        <v>#REF!</v>
      </c>
      <c r="S25" s="28" t="e">
        <f>#REF!</f>
        <v>#REF!</v>
      </c>
      <c r="T25" s="28" t="e">
        <f>#REF!</f>
        <v>#REF!</v>
      </c>
      <c r="U25" s="28" t="e">
        <f>#REF!</f>
        <v>#REF!</v>
      </c>
      <c r="V25" s="28" t="e">
        <f>#REF!</f>
        <v>#REF!</v>
      </c>
      <c r="W25" s="28" t="e">
        <f>#REF!</f>
        <v>#REF!</v>
      </c>
      <c r="X25" s="28" t="e">
        <f>#REF!</f>
        <v>#REF!</v>
      </c>
    </row>
    <row r="26" spans="1:24" x14ac:dyDescent="0.25">
      <c r="A26" s="9"/>
      <c r="B26" s="2" t="s">
        <v>51</v>
      </c>
      <c r="C26" s="2"/>
      <c r="D26" s="12"/>
      <c r="E26" s="5">
        <f t="shared" si="5"/>
        <v>54</v>
      </c>
      <c r="F26" s="5">
        <f t="shared" si="5"/>
        <v>54</v>
      </c>
      <c r="G26" s="5">
        <f t="shared" si="5"/>
        <v>54</v>
      </c>
      <c r="H26" s="5">
        <f t="shared" si="5"/>
        <v>54</v>
      </c>
      <c r="I26" s="5">
        <f t="shared" si="5"/>
        <v>54</v>
      </c>
      <c r="J26" s="5">
        <f t="shared" si="5"/>
        <v>54</v>
      </c>
      <c r="K26" s="5">
        <f t="shared" si="5"/>
        <v>54</v>
      </c>
      <c r="L26" s="5">
        <f t="shared" si="5"/>
        <v>54</v>
      </c>
      <c r="M26" s="5">
        <f t="shared" si="5"/>
        <v>54</v>
      </c>
      <c r="N26" s="5">
        <f t="shared" si="5"/>
        <v>54</v>
      </c>
      <c r="O26" s="28" t="e">
        <f>#REF!</f>
        <v>#REF!</v>
      </c>
      <c r="P26" s="28" t="e">
        <f>#REF!</f>
        <v>#REF!</v>
      </c>
      <c r="Q26" s="28" t="e">
        <f>#REF!</f>
        <v>#REF!</v>
      </c>
      <c r="R26" s="28" t="e">
        <f>#REF!</f>
        <v>#REF!</v>
      </c>
      <c r="S26" s="28" t="e">
        <f>#REF!</f>
        <v>#REF!</v>
      </c>
      <c r="T26" s="28" t="e">
        <f>#REF!</f>
        <v>#REF!</v>
      </c>
      <c r="U26" s="28" t="e">
        <f>#REF!</f>
        <v>#REF!</v>
      </c>
      <c r="V26" s="28" t="e">
        <f>#REF!</f>
        <v>#REF!</v>
      </c>
      <c r="W26" s="28" t="e">
        <f>#REF!</f>
        <v>#REF!</v>
      </c>
      <c r="X26" s="28" t="e">
        <f>#REF!</f>
        <v>#REF!</v>
      </c>
    </row>
    <row r="27" spans="1:24" x14ac:dyDescent="0.25">
      <c r="A27" s="9"/>
      <c r="B27" s="16" t="s">
        <v>58</v>
      </c>
      <c r="C27" s="20"/>
      <c r="D27" s="21"/>
      <c r="E27" s="19">
        <f>SUMPRODUCT(E8:E14,E20:E26)</f>
        <v>83986.837770999991</v>
      </c>
      <c r="F27" s="19">
        <f t="shared" ref="F27:X27" si="6">SUMPRODUCT(F8:F14,F20:F26)</f>
        <v>88363.531619700007</v>
      </c>
      <c r="G27" s="19">
        <f t="shared" si="6"/>
        <v>92486.816477000015</v>
      </c>
      <c r="H27" s="19">
        <f t="shared" si="6"/>
        <v>96548.016081000009</v>
      </c>
      <c r="I27" s="19">
        <f t="shared" si="6"/>
        <v>100199.825876</v>
      </c>
      <c r="J27" s="19">
        <f t="shared" si="6"/>
        <v>103918.43194899999</v>
      </c>
      <c r="K27" s="19">
        <f t="shared" si="6"/>
        <v>107265.32249100001</v>
      </c>
      <c r="L27" s="19">
        <f t="shared" si="6"/>
        <v>110407.049604</v>
      </c>
      <c r="M27" s="19">
        <f t="shared" si="6"/>
        <v>113324.10479900001</v>
      </c>
      <c r="N27" s="19">
        <f>SUMPRODUCT(N8:N14,N20:N26)</f>
        <v>116357.902537</v>
      </c>
      <c r="O27" s="19" t="e">
        <f t="shared" si="6"/>
        <v>#REF!</v>
      </c>
      <c r="P27" s="19" t="e">
        <f t="shared" si="6"/>
        <v>#REF!</v>
      </c>
      <c r="Q27" s="19" t="e">
        <f t="shared" si="6"/>
        <v>#REF!</v>
      </c>
      <c r="R27" s="19" t="e">
        <f t="shared" si="6"/>
        <v>#REF!</v>
      </c>
      <c r="S27" s="19" t="e">
        <f t="shared" si="6"/>
        <v>#REF!</v>
      </c>
      <c r="T27" s="19" t="e">
        <f t="shared" si="6"/>
        <v>#REF!</v>
      </c>
      <c r="U27" s="19" t="e">
        <f t="shared" si="6"/>
        <v>#REF!</v>
      </c>
      <c r="V27" s="19" t="e">
        <f t="shared" si="6"/>
        <v>#REF!</v>
      </c>
      <c r="W27" s="19" t="e">
        <f t="shared" si="6"/>
        <v>#REF!</v>
      </c>
      <c r="X27" s="19" t="e">
        <f t="shared" si="6"/>
        <v>#REF!</v>
      </c>
    </row>
    <row r="28" spans="1:24" x14ac:dyDescent="0.25">
      <c r="A28" s="9"/>
      <c r="B28" s="22"/>
      <c r="C28" s="9"/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x14ac:dyDescent="0.25">
      <c r="A29" s="9"/>
      <c r="B29" s="1" t="s">
        <v>60</v>
      </c>
      <c r="C29" s="2"/>
      <c r="D29" s="12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x14ac:dyDescent="0.25">
      <c r="A30" s="9"/>
      <c r="B30" s="10" t="s">
        <v>7</v>
      </c>
      <c r="C30" s="2"/>
      <c r="D30" s="26"/>
      <c r="E30" s="5">
        <f>E17*(Inputs!$K$10*Inputs!$I$5+Inputs!$K$11*(1-Inputs!$I$5))</f>
        <v>21063.242200000001</v>
      </c>
      <c r="F30" s="5">
        <f>F17*(Inputs!$K$10*Inputs!$I$5+Inputs!$K$11*(1-Inputs!$I$5))</f>
        <v>22078.721244999997</v>
      </c>
      <c r="G30" s="5">
        <f>G17*(Inputs!$K$10*Inputs!$I$5+Inputs!$K$11*(1-Inputs!$I$5))</f>
        <v>23014.980099999997</v>
      </c>
      <c r="H30" s="5">
        <f>H17*(Inputs!$K$10*Inputs!$I$5+Inputs!$K$11*(1-Inputs!$I$5))</f>
        <v>23982.205800000003</v>
      </c>
      <c r="I30" s="5">
        <f>I17*(Inputs!$K$10*Inputs!$I$5+Inputs!$K$11*(1-Inputs!$I$5))</f>
        <v>24929.351650000001</v>
      </c>
      <c r="J30" s="5">
        <f>J17*(Inputs!$K$10*Inputs!$I$5+Inputs!$K$11*(1-Inputs!$I$5))</f>
        <v>25807.5062</v>
      </c>
      <c r="K30" s="5">
        <f>K17*(Inputs!$K$10*Inputs!$I$5+Inputs!$K$11*(1-Inputs!$I$5))</f>
        <v>26594.890699999996</v>
      </c>
      <c r="L30" s="5">
        <f>L17*(Inputs!$K$10*Inputs!$I$5+Inputs!$K$11*(1-Inputs!$I$5))</f>
        <v>27406.7997</v>
      </c>
      <c r="M30" s="5">
        <f>M17*(Inputs!$K$10*Inputs!$I$5+Inputs!$K$11*(1-Inputs!$I$5))</f>
        <v>28160.233500000002</v>
      </c>
      <c r="N30" s="5">
        <f>N17*(Inputs!$K$10*Inputs!$I$5+Inputs!$K$11*(1-Inputs!$I$5))</f>
        <v>28852.394199999995</v>
      </c>
      <c r="O30" s="5" t="e">
        <f>O17*(#REF!*(1-VLOOKUP($C$4,Inputs!$B$4:$S$20,8,FALSE))+#REF!*(VLOOKUP($C$4,Inputs!$B$4:$S$20,8,FALSE)))</f>
        <v>#REF!</v>
      </c>
      <c r="P30" s="5" t="e">
        <f>P17*(#REF!*(1-VLOOKUP($C$4,Inputs!$B$4:$S$20,8,FALSE))+#REF!*(VLOOKUP($C$4,Inputs!$B$4:$S$20,8,FALSE)))</f>
        <v>#REF!</v>
      </c>
      <c r="Q30" s="5" t="e">
        <f>Q17*(#REF!*(1-VLOOKUP($C$4,Inputs!$B$4:$S$20,8,FALSE))+#REF!*(VLOOKUP($C$4,Inputs!$B$4:$S$20,8,FALSE)))</f>
        <v>#REF!</v>
      </c>
      <c r="R30" s="5" t="e">
        <f>R17*(#REF!*(1-VLOOKUP($C$4,Inputs!$B$4:$S$20,8,FALSE))+#REF!*(VLOOKUP($C$4,Inputs!$B$4:$S$20,8,FALSE)))</f>
        <v>#REF!</v>
      </c>
      <c r="S30" s="5" t="e">
        <f>S17*(#REF!*(1-VLOOKUP($C$4,Inputs!$B$4:$S$20,8,FALSE))+#REF!*(VLOOKUP($C$4,Inputs!$B$4:$S$20,8,FALSE)))</f>
        <v>#REF!</v>
      </c>
      <c r="T30" s="5" t="e">
        <f>T17*(#REF!*(1-VLOOKUP($C$4,Inputs!$B$4:$S$20,8,FALSE))+#REF!*(VLOOKUP($C$4,Inputs!$B$4:$S$20,8,FALSE)))</f>
        <v>#REF!</v>
      </c>
      <c r="U30" s="5" t="e">
        <f>U17*(#REF!*(1-VLOOKUP($C$4,Inputs!$B$4:$S$20,8,FALSE))+#REF!*(VLOOKUP($C$4,Inputs!$B$4:$S$20,8,FALSE)))</f>
        <v>#REF!</v>
      </c>
      <c r="V30" s="5" t="e">
        <f>V17*(#REF!*(1-VLOOKUP($C$4,Inputs!$B$4:$S$20,8,FALSE))+#REF!*(VLOOKUP($C$4,Inputs!$B$4:$S$20,8,FALSE)))</f>
        <v>#REF!</v>
      </c>
      <c r="W30" s="5" t="e">
        <f>W17*(#REF!*(1-VLOOKUP($C$4,Inputs!$B$4:$S$20,8,FALSE))+#REF!*(VLOOKUP($C$4,Inputs!$B$4:$S$20,8,FALSE)))</f>
        <v>#REF!</v>
      </c>
      <c r="X30" s="5" t="e">
        <f>X17*(#REF!*(1-VLOOKUP($C$4,Inputs!$B$4:$S$20,8,FALSE))+#REF!*(VLOOKUP($C$4,Inputs!$B$4:$S$20,8,FALSE)))</f>
        <v>#REF!</v>
      </c>
    </row>
    <row r="31" spans="1:24" x14ac:dyDescent="0.25">
      <c r="A31" s="9"/>
      <c r="B31" s="10" t="s">
        <v>8</v>
      </c>
      <c r="C31" s="2"/>
      <c r="D31" s="26"/>
      <c r="E31" s="5">
        <f>Inputs!$P$10</f>
        <v>3000</v>
      </c>
      <c r="F31" s="5">
        <f>Inputs!$P$10</f>
        <v>3000</v>
      </c>
      <c r="G31" s="5">
        <f>Inputs!$P$10</f>
        <v>3000</v>
      </c>
      <c r="H31" s="5">
        <f>Inputs!$P$10</f>
        <v>3000</v>
      </c>
      <c r="I31" s="5">
        <f>Inputs!$P$10</f>
        <v>3000</v>
      </c>
      <c r="J31" s="5">
        <f>Inputs!$P$10</f>
        <v>3000</v>
      </c>
      <c r="K31" s="5">
        <f>Inputs!$P$10</f>
        <v>3000</v>
      </c>
      <c r="L31" s="5">
        <f>Inputs!$P$10</f>
        <v>3000</v>
      </c>
      <c r="M31" s="5">
        <f>Inputs!$P$10</f>
        <v>3000</v>
      </c>
      <c r="N31" s="5">
        <f>Inputs!$P$10</f>
        <v>3000</v>
      </c>
      <c r="O31" s="5" t="e">
        <f>HLOOKUP($C$4,#REF!,2,FALSE)</f>
        <v>#REF!</v>
      </c>
      <c r="P31" s="5" t="e">
        <f>HLOOKUP($C$4,#REF!,2,FALSE)</f>
        <v>#REF!</v>
      </c>
      <c r="Q31" s="5" t="e">
        <f>HLOOKUP($C$4,#REF!,2,FALSE)</f>
        <v>#REF!</v>
      </c>
      <c r="R31" s="5" t="e">
        <f>HLOOKUP($C$4,#REF!,2,FALSE)</f>
        <v>#REF!</v>
      </c>
      <c r="S31" s="5" t="e">
        <f>HLOOKUP($C$4,#REF!,2,FALSE)</f>
        <v>#REF!</v>
      </c>
      <c r="T31" s="5" t="e">
        <f>HLOOKUP($C$4,#REF!,2,FALSE)</f>
        <v>#REF!</v>
      </c>
      <c r="U31" s="5" t="e">
        <f>HLOOKUP($C$4,#REF!,2,FALSE)</f>
        <v>#REF!</v>
      </c>
      <c r="V31" s="5" t="e">
        <f>HLOOKUP($C$4,#REF!,2,FALSE)</f>
        <v>#REF!</v>
      </c>
      <c r="W31" s="5" t="e">
        <f>HLOOKUP($C$4,#REF!,2,FALSE)</f>
        <v>#REF!</v>
      </c>
      <c r="X31" s="5" t="e">
        <f>HLOOKUP($C$4,#REF!,2,FALSE)</f>
        <v>#REF!</v>
      </c>
    </row>
    <row r="32" spans="1:24" x14ac:dyDescent="0.25">
      <c r="A32" s="9"/>
      <c r="B32" s="10" t="s">
        <v>61</v>
      </c>
      <c r="C32" s="2"/>
      <c r="D32" s="26"/>
      <c r="E32" s="5">
        <f>Inputs!$P$11*E17</f>
        <v>601.80691999999999</v>
      </c>
      <c r="F32" s="5">
        <f>Inputs!$P$11*F17</f>
        <v>630.82060699999988</v>
      </c>
      <c r="G32" s="5">
        <f>Inputs!$P$11*G17</f>
        <v>657.57085999999993</v>
      </c>
      <c r="H32" s="5">
        <f>Inputs!$P$11*H17</f>
        <v>685.20588000000009</v>
      </c>
      <c r="I32" s="5">
        <f>Inputs!$P$11*I17</f>
        <v>712.26719000000003</v>
      </c>
      <c r="J32" s="5">
        <f>Inputs!$P$11*J17</f>
        <v>737.35731999999996</v>
      </c>
      <c r="K32" s="5">
        <f>Inputs!$P$11*K17</f>
        <v>759.85401999999988</v>
      </c>
      <c r="L32" s="5">
        <f>Inputs!$P$11*L17</f>
        <v>783.05142000000001</v>
      </c>
      <c r="M32" s="5">
        <f>Inputs!$P$11*M17</f>
        <v>804.57810000000006</v>
      </c>
      <c r="N32" s="5">
        <f>Inputs!$P$11*N17</f>
        <v>824.35411999999985</v>
      </c>
      <c r="O32" s="5" t="e">
        <f>O17*#REF!</f>
        <v>#REF!</v>
      </c>
      <c r="P32" s="5" t="e">
        <f>P17*#REF!</f>
        <v>#REF!</v>
      </c>
      <c r="Q32" s="5" t="e">
        <f>Q17*#REF!</f>
        <v>#REF!</v>
      </c>
      <c r="R32" s="5" t="e">
        <f>R17*#REF!</f>
        <v>#REF!</v>
      </c>
      <c r="S32" s="5" t="e">
        <f>S17*#REF!</f>
        <v>#REF!</v>
      </c>
      <c r="T32" s="5" t="e">
        <f>T17*#REF!</f>
        <v>#REF!</v>
      </c>
      <c r="U32" s="5" t="e">
        <f>U17*#REF!</f>
        <v>#REF!</v>
      </c>
      <c r="V32" s="5" t="e">
        <f>V17*#REF!</f>
        <v>#REF!</v>
      </c>
      <c r="W32" s="5" t="e">
        <f>W17*#REF!</f>
        <v>#REF!</v>
      </c>
      <c r="X32" s="5" t="e">
        <f>X17*#REF!</f>
        <v>#REF!</v>
      </c>
    </row>
    <row r="33" spans="1:24" x14ac:dyDescent="0.25">
      <c r="A33" s="9"/>
      <c r="B33" s="10" t="s">
        <v>9</v>
      </c>
      <c r="C33" s="2"/>
      <c r="D33" s="26"/>
      <c r="E33" s="5">
        <f>Inputs!$K$12*Clearfelling!E17</f>
        <v>3009.0346</v>
      </c>
      <c r="F33" s="5">
        <f>Inputs!$K$12*Clearfelling!F17</f>
        <v>3154.1030349999992</v>
      </c>
      <c r="G33" s="5">
        <f>Inputs!$K$12*Clearfelling!G17</f>
        <v>3287.8542999999995</v>
      </c>
      <c r="H33" s="5">
        <f>Inputs!$K$12*Clearfelling!H17</f>
        <v>3426.0294000000004</v>
      </c>
      <c r="I33" s="5">
        <f>Inputs!$K$12*Clearfelling!I17</f>
        <v>3561.3359500000001</v>
      </c>
      <c r="J33" s="5">
        <f>Inputs!$K$12*Clearfelling!J17</f>
        <v>3686.7865999999999</v>
      </c>
      <c r="K33" s="5">
        <f>Inputs!$K$12*Clearfelling!K17</f>
        <v>3799.2700999999993</v>
      </c>
      <c r="L33" s="5">
        <f>Inputs!$K$12*Clearfelling!L17</f>
        <v>3915.2570999999998</v>
      </c>
      <c r="M33" s="5">
        <f>Inputs!$K$12*Clearfelling!M17</f>
        <v>4022.8905000000004</v>
      </c>
      <c r="N33" s="5">
        <f>Inputs!$K$12*Clearfelling!N17</f>
        <v>4121.7705999999989</v>
      </c>
      <c r="O33" s="5" t="e">
        <f>#REF!*Clearfelling!O17</f>
        <v>#REF!</v>
      </c>
      <c r="P33" s="5" t="e">
        <f>#REF!*Clearfelling!P17</f>
        <v>#REF!</v>
      </c>
      <c r="Q33" s="5" t="e">
        <f>#REF!*Clearfelling!Q17</f>
        <v>#REF!</v>
      </c>
      <c r="R33" s="5" t="e">
        <f>#REF!*Clearfelling!R17</f>
        <v>#REF!</v>
      </c>
      <c r="S33" s="5" t="e">
        <f>#REF!*Clearfelling!S17</f>
        <v>#REF!</v>
      </c>
      <c r="T33" s="5" t="e">
        <f>#REF!*Clearfelling!T17</f>
        <v>#REF!</v>
      </c>
      <c r="U33" s="5" t="e">
        <f>#REF!*Clearfelling!U17</f>
        <v>#REF!</v>
      </c>
      <c r="V33" s="5" t="e">
        <f>#REF!*Clearfelling!V17</f>
        <v>#REF!</v>
      </c>
      <c r="W33" s="5" t="e">
        <f>#REF!*Clearfelling!W17</f>
        <v>#REF!</v>
      </c>
      <c r="X33" s="5" t="e">
        <f>#REF!*Clearfelling!X17</f>
        <v>#REF!</v>
      </c>
    </row>
    <row r="34" spans="1:24" x14ac:dyDescent="0.25">
      <c r="A34" s="9"/>
      <c r="B34" s="10" t="s">
        <v>10</v>
      </c>
      <c r="C34" s="2"/>
      <c r="D34" s="26"/>
      <c r="E34" s="5">
        <f>Inputs!$K$13*Clearfelling!E17</f>
        <v>601.80691999999999</v>
      </c>
      <c r="F34" s="5">
        <f>Inputs!$K$13*Clearfelling!F17</f>
        <v>630.82060699999988</v>
      </c>
      <c r="G34" s="5">
        <f>Inputs!$K$13*Clearfelling!G17</f>
        <v>657.57085999999993</v>
      </c>
      <c r="H34" s="5">
        <f>Inputs!$K$13*Clearfelling!H17</f>
        <v>685.20588000000009</v>
      </c>
      <c r="I34" s="5">
        <f>Inputs!$K$13*Clearfelling!I17</f>
        <v>712.26719000000003</v>
      </c>
      <c r="J34" s="5">
        <f>Inputs!$K$13*Clearfelling!J17</f>
        <v>737.35731999999996</v>
      </c>
      <c r="K34" s="5">
        <f>Inputs!$K$13*Clearfelling!K17</f>
        <v>759.85401999999988</v>
      </c>
      <c r="L34" s="5">
        <f>Inputs!$K$13*Clearfelling!L17</f>
        <v>783.05142000000001</v>
      </c>
      <c r="M34" s="5">
        <f>Inputs!$K$13*Clearfelling!M17</f>
        <v>804.57810000000006</v>
      </c>
      <c r="N34" s="5">
        <f>Inputs!$K$13*Clearfelling!N17</f>
        <v>824.35411999999985</v>
      </c>
      <c r="O34" s="5" t="e">
        <f>#REF!*Clearfelling!O17</f>
        <v>#REF!</v>
      </c>
      <c r="P34" s="5" t="e">
        <f>#REF!*Clearfelling!P17</f>
        <v>#REF!</v>
      </c>
      <c r="Q34" s="5" t="e">
        <f>#REF!*Clearfelling!Q17</f>
        <v>#REF!</v>
      </c>
      <c r="R34" s="5" t="e">
        <f>#REF!*Clearfelling!R17</f>
        <v>#REF!</v>
      </c>
      <c r="S34" s="5" t="e">
        <f>#REF!*Clearfelling!S17</f>
        <v>#REF!</v>
      </c>
      <c r="T34" s="5" t="e">
        <f>#REF!*Clearfelling!T17</f>
        <v>#REF!</v>
      </c>
      <c r="U34" s="5" t="e">
        <f>#REF!*Clearfelling!U17</f>
        <v>#REF!</v>
      </c>
      <c r="V34" s="5" t="e">
        <f>#REF!*Clearfelling!V17</f>
        <v>#REF!</v>
      </c>
      <c r="W34" s="5" t="e">
        <f>#REF!*Clearfelling!W17</f>
        <v>#REF!</v>
      </c>
      <c r="X34" s="5" t="e">
        <f>#REF!*Clearfelling!X17</f>
        <v>#REF!</v>
      </c>
    </row>
    <row r="35" spans="1:24" x14ac:dyDescent="0.25">
      <c r="A35" s="9"/>
      <c r="B35" s="10" t="s">
        <v>11</v>
      </c>
      <c r="C35" s="2" t="s">
        <v>67</v>
      </c>
      <c r="D35" s="26"/>
      <c r="E35" s="5">
        <f>SUM(E8:E13)*(Inputs!$K$14+Inputs!$K$15*VLOOKUP($C$4,StandInfo,9,FALSE))</f>
        <v>16501.658585109999</v>
      </c>
      <c r="F35" s="5">
        <f>SUM(F8:F13)*(Inputs!$K$14+Inputs!$K$15*VLOOKUP($C$4,StandInfo,9,FALSE))</f>
        <v>17363.423055740997</v>
      </c>
      <c r="G35" s="5">
        <f>SUM(G8:G13)*(Inputs!$K$14+Inputs!$K$15*VLOOKUP($C$4,StandInfo,9,FALSE))</f>
        <v>18175.516285289999</v>
      </c>
      <c r="H35" s="5">
        <f>SUM(H8:H13)*(Inputs!$K$14+Inputs!$K$15*VLOOKUP($C$4,StandInfo,9,FALSE))</f>
        <v>18873.121347560002</v>
      </c>
      <c r="I35" s="5">
        <f>SUM(I8:I13)*(Inputs!$K$14+Inputs!$K$15*VLOOKUP($C$4,StandInfo,9,FALSE))</f>
        <v>19623.540788170001</v>
      </c>
      <c r="J35" s="5">
        <f>SUM(J8:J13)*(Inputs!$K$14+Inputs!$K$15*VLOOKUP($C$4,StandInfo,9,FALSE))</f>
        <v>20314.473525189998</v>
      </c>
      <c r="K35" s="5">
        <f>SUM(K8:K13)*(Inputs!$K$14+Inputs!$K$15*VLOOKUP($C$4,StandInfo,9,FALSE))</f>
        <v>20977.333175909996</v>
      </c>
      <c r="L35" s="5">
        <f>SUM(L8:L13)*(Inputs!$K$14+Inputs!$K$15*VLOOKUP($C$4,StandInfo,9,FALSE))</f>
        <v>21629.217520940001</v>
      </c>
      <c r="M35" s="5">
        <f>SUM(M8:M13)*(Inputs!$K$14+Inputs!$K$15*VLOOKUP($C$4,StandInfo,9,FALSE))</f>
        <v>22190.467310780001</v>
      </c>
      <c r="N35" s="5">
        <f>SUM(N8:N13)*(Inputs!$K$14+Inputs!$K$15*VLOOKUP($C$4,StandInfo,9,FALSE))</f>
        <v>22794.138434049997</v>
      </c>
      <c r="O35" s="5" t="e">
        <f>SUM(O8:O13)*(#REF!+#REF!*VLOOKUP($C$4,Inputs!$B$4:$O$20,10,FALSE))</f>
        <v>#REF!</v>
      </c>
      <c r="P35" s="5" t="e">
        <f>SUM(P8:P13)*(#REF!+#REF!*VLOOKUP($C$4,Inputs!$B$4:$O$20,10,FALSE))</f>
        <v>#REF!</v>
      </c>
      <c r="Q35" s="5" t="e">
        <f>SUM(Q8:Q13)*(#REF!+#REF!*VLOOKUP($C$4,Inputs!$B$4:$O$20,10,FALSE))</f>
        <v>#REF!</v>
      </c>
      <c r="R35" s="5" t="e">
        <f>SUM(R8:R13)*(#REF!+#REF!*VLOOKUP($C$4,Inputs!$B$4:$O$20,10,FALSE))</f>
        <v>#REF!</v>
      </c>
      <c r="S35" s="5" t="e">
        <f>SUM(S8:S13)*(#REF!+#REF!*VLOOKUP($C$4,Inputs!$B$4:$O$20,10,FALSE))</f>
        <v>#REF!</v>
      </c>
      <c r="T35" s="5" t="e">
        <f>SUM(T8:T13)*(#REF!+#REF!*VLOOKUP($C$4,Inputs!$B$4:$O$20,10,FALSE))</f>
        <v>#REF!</v>
      </c>
      <c r="U35" s="5" t="e">
        <f>SUM(U8:U13)*(#REF!+#REF!*VLOOKUP($C$4,Inputs!$B$4:$O$20,10,FALSE))</f>
        <v>#REF!</v>
      </c>
      <c r="V35" s="5" t="e">
        <f>SUM(V8:V13)*(#REF!+#REF!*VLOOKUP($C$4,Inputs!$B$4:$O$20,10,FALSE))</f>
        <v>#REF!</v>
      </c>
      <c r="W35" s="5" t="e">
        <f>SUM(W8:W13)*(#REF!+#REF!*VLOOKUP($C$4,Inputs!$B$4:$O$20,10,FALSE))</f>
        <v>#REF!</v>
      </c>
      <c r="X35" s="5" t="e">
        <f>SUM(X8:X13)*(#REF!+#REF!*VLOOKUP($C$4,Inputs!$B$4:$O$20,10,FALSE))</f>
        <v>#REF!</v>
      </c>
    </row>
    <row r="36" spans="1:24" hidden="1" x14ac:dyDescent="0.25">
      <c r="A36" s="9"/>
      <c r="B36" s="10"/>
      <c r="C36" s="2" t="s">
        <v>68</v>
      </c>
      <c r="D36" s="26"/>
    </row>
    <row r="37" spans="1:24" x14ac:dyDescent="0.25">
      <c r="A37" s="9"/>
      <c r="B37" s="10"/>
      <c r="C37" s="2" t="s">
        <v>51</v>
      </c>
      <c r="D37" s="26"/>
      <c r="E37" s="5">
        <f>E14*(Inputs!$K$14+Inputs!$K$15*VLOOKUP(Clearfelling!$C$4,StandInfo,11,FALSE))</f>
        <v>224.86619375000001</v>
      </c>
      <c r="F37" s="5">
        <f>F14*(Inputs!$K$14+Inputs!$K$15*VLOOKUP(Clearfelling!$C$4,StandInfo,11,FALSE))</f>
        <v>203.2783489</v>
      </c>
      <c r="G37" s="5">
        <f>G14*(Inputs!$K$14+Inputs!$K$15*VLOOKUP(Clearfelling!$C$4,StandInfo,11,FALSE))</f>
        <v>174.77447515</v>
      </c>
      <c r="H37" s="5">
        <f>H14*(Inputs!$K$14+Inputs!$K$15*VLOOKUP(Clearfelling!$C$4,StandInfo,11,FALSE))</f>
        <v>214.56504079999999</v>
      </c>
      <c r="I37" s="5">
        <f>I14*(Inputs!$K$14+Inputs!$K$15*VLOOKUP(Clearfelling!$C$4,StandInfo,11,FALSE))</f>
        <v>220.565246</v>
      </c>
      <c r="J37" s="5">
        <f>J14*(Inputs!$K$14+Inputs!$K$15*VLOOKUP(Clearfelling!$C$4,StandInfo,11,FALSE))</f>
        <v>228.49193895000002</v>
      </c>
      <c r="K37" s="5">
        <f>K14*(Inputs!$K$14+Inputs!$K$15*VLOOKUP(Clearfelling!$C$4,StandInfo,11,FALSE))</f>
        <v>214.36749125</v>
      </c>
      <c r="L37" s="5">
        <f>L14*(Inputs!$K$14+Inputs!$K$15*VLOOKUP(Clearfelling!$C$4,StandInfo,11,FALSE))</f>
        <v>215.2922882</v>
      </c>
      <c r="M37" s="5">
        <f>M14*(Inputs!$K$14+Inputs!$K$15*VLOOKUP(Clearfelling!$C$4,StandInfo,11,FALSE))</f>
        <v>237.54870919999996</v>
      </c>
      <c r="N37" s="5">
        <f>N14*(Inputs!$K$14+Inputs!$K$15*VLOOKUP(Clearfelling!$C$4,StandInfo,11,FALSE))</f>
        <v>214.85784484999999</v>
      </c>
      <c r="O37" s="5" t="e">
        <f>O14*(#REF!+#REF!*VLOOKUP(Clearfelling!$C$4,Inputs!$B$4:$O$20,12,FALSE))</f>
        <v>#REF!</v>
      </c>
      <c r="P37" s="5" t="e">
        <f>P14*(#REF!+#REF!*VLOOKUP(Clearfelling!$C$4,Inputs!$B$4:$O$20,12,FALSE))</f>
        <v>#REF!</v>
      </c>
      <c r="Q37" s="5" t="e">
        <f>Q14*(#REF!+#REF!*VLOOKUP(Clearfelling!$C$4,Inputs!$B$4:$O$20,12,FALSE))</f>
        <v>#REF!</v>
      </c>
      <c r="R37" s="5" t="e">
        <f>R14*(#REF!+#REF!*VLOOKUP(Clearfelling!$C$4,Inputs!$B$4:$O$20,12,FALSE))</f>
        <v>#REF!</v>
      </c>
      <c r="S37" s="5" t="e">
        <f>S14*(#REF!+#REF!*VLOOKUP(Clearfelling!$C$4,Inputs!$B$4:$O$20,12,FALSE))</f>
        <v>#REF!</v>
      </c>
      <c r="T37" s="5" t="e">
        <f>T14*(#REF!+#REF!*VLOOKUP(Clearfelling!$C$4,Inputs!$B$4:$O$20,12,FALSE))</f>
        <v>#REF!</v>
      </c>
      <c r="U37" s="5" t="e">
        <f>U14*(#REF!+#REF!*VLOOKUP(Clearfelling!$C$4,Inputs!$B$4:$O$20,12,FALSE))</f>
        <v>#REF!</v>
      </c>
      <c r="V37" s="5" t="e">
        <f>V14*(#REF!+#REF!*VLOOKUP(Clearfelling!$C$4,Inputs!$B$4:$O$20,12,FALSE))</f>
        <v>#REF!</v>
      </c>
      <c r="W37" s="5" t="e">
        <f>W14*(#REF!+#REF!*VLOOKUP(Clearfelling!$C$4,Inputs!$B$4:$O$20,12,FALSE))</f>
        <v>#REF!</v>
      </c>
      <c r="X37" s="5" t="e">
        <f>X14*(#REF!+#REF!*VLOOKUP(Clearfelling!$C$4,Inputs!$B$4:$O$20,12,FALSE))</f>
        <v>#REF!</v>
      </c>
    </row>
    <row r="38" spans="1:24" x14ac:dyDescent="0.25">
      <c r="A38" s="9"/>
      <c r="B38" s="16" t="s">
        <v>71</v>
      </c>
      <c r="C38" s="20"/>
      <c r="D38" s="21"/>
      <c r="E38" s="19">
        <f>SUM(E30:E37)</f>
        <v>45002.415418859993</v>
      </c>
      <c r="F38" s="19">
        <f t="shared" ref="F38:X38" si="7">SUM(F30:F37)</f>
        <v>47061.166898640993</v>
      </c>
      <c r="G38" s="19">
        <f t="shared" si="7"/>
        <v>48968.266880439995</v>
      </c>
      <c r="H38" s="19">
        <f t="shared" si="7"/>
        <v>50866.333348360007</v>
      </c>
      <c r="I38" s="19">
        <f t="shared" si="7"/>
        <v>52759.328014170002</v>
      </c>
      <c r="J38" s="19">
        <f t="shared" si="7"/>
        <v>54511.972904139999</v>
      </c>
      <c r="K38" s="19">
        <f t="shared" si="7"/>
        <v>56105.569507159991</v>
      </c>
      <c r="L38" s="19">
        <f t="shared" si="7"/>
        <v>57732.669449140005</v>
      </c>
      <c r="M38" s="19">
        <f t="shared" si="7"/>
        <v>59220.296219979995</v>
      </c>
      <c r="N38" s="19">
        <f>SUM(N30:N37)</f>
        <v>60631.869318899982</v>
      </c>
      <c r="O38" s="19" t="e">
        <f t="shared" si="7"/>
        <v>#REF!</v>
      </c>
      <c r="P38" s="19" t="e">
        <f t="shared" si="7"/>
        <v>#REF!</v>
      </c>
      <c r="Q38" s="19" t="e">
        <f t="shared" si="7"/>
        <v>#REF!</v>
      </c>
      <c r="R38" s="19" t="e">
        <f t="shared" si="7"/>
        <v>#REF!</v>
      </c>
      <c r="S38" s="19" t="e">
        <f t="shared" si="7"/>
        <v>#REF!</v>
      </c>
      <c r="T38" s="19" t="e">
        <f t="shared" si="7"/>
        <v>#REF!</v>
      </c>
      <c r="U38" s="19" t="e">
        <f t="shared" si="7"/>
        <v>#REF!</v>
      </c>
      <c r="V38" s="19" t="e">
        <f t="shared" si="7"/>
        <v>#REF!</v>
      </c>
      <c r="W38" s="19" t="e">
        <f t="shared" si="7"/>
        <v>#REF!</v>
      </c>
      <c r="X38" s="19" t="e">
        <f t="shared" si="7"/>
        <v>#REF!</v>
      </c>
    </row>
    <row r="39" spans="1:24" x14ac:dyDescent="0.25">
      <c r="A39" s="9"/>
      <c r="B39" s="10" t="s">
        <v>12</v>
      </c>
      <c r="C39" s="9"/>
      <c r="D39" s="23"/>
      <c r="E39" s="55">
        <f>IF($C$5="clearfell",D39+Inputs!$O$14,0)</f>
        <v>1E-3</v>
      </c>
      <c r="F39" s="55">
        <f>IF($C$5="clearfell",E39+Inputs!$O$14,0)</f>
        <v>2E-3</v>
      </c>
      <c r="G39" s="55">
        <f>IF($C$5="clearfell",F39+Inputs!$O$14,0)</f>
        <v>3.0000000000000001E-3</v>
      </c>
      <c r="H39" s="55">
        <f>IF($C$5="clearfell",G39+Inputs!$O$14,0)</f>
        <v>4.0000000000000001E-3</v>
      </c>
      <c r="I39" s="55">
        <f>IF($C$5="clearfell",H39+Inputs!$O$14,0)</f>
        <v>5.0000000000000001E-3</v>
      </c>
      <c r="J39" s="55">
        <f>IF($C$5="clearfell",I39+Inputs!$O$14,0)</f>
        <v>6.0000000000000001E-3</v>
      </c>
      <c r="K39" s="55">
        <f>IF($C$5="clearfell",J39+Inputs!$O$14,0)</f>
        <v>7.0000000000000001E-3</v>
      </c>
      <c r="L39" s="55">
        <f>IF($C$5="clearfell",K39+Inputs!$O$14,0)</f>
        <v>8.0000000000000002E-3</v>
      </c>
      <c r="M39" s="55">
        <f>IF($C$5="clearfell",L39+Inputs!$O$14,0)</f>
        <v>9.0000000000000011E-3</v>
      </c>
      <c r="N39" s="55">
        <f>IF($C$5="clearfell",M39+Inputs!$O$14,0)</f>
        <v>1.0000000000000002E-2</v>
      </c>
      <c r="O39" s="55" t="e">
        <f>IF($C$5="clearfell",N39+#REF!,0)</f>
        <v>#REF!</v>
      </c>
      <c r="P39" s="55" t="e">
        <f>IF($C$5="clearfell",O39+#REF!,0)</f>
        <v>#REF!</v>
      </c>
      <c r="Q39" s="55" t="e">
        <f>IF($C$5="clearfell",P39+#REF!,0)</f>
        <v>#REF!</v>
      </c>
      <c r="R39" s="55" t="e">
        <f>IF($C$5="clearfell",Q39+#REF!,0)</f>
        <v>#REF!</v>
      </c>
      <c r="S39" s="55" t="e">
        <f>IF($C$5="clearfell",R39+#REF!,0)</f>
        <v>#REF!</v>
      </c>
      <c r="T39" s="55" t="e">
        <f>IF($C$5="clearfell",S39+#REF!,0)</f>
        <v>#REF!</v>
      </c>
      <c r="U39" s="55" t="e">
        <f>IF($C$5="clearfell",T39+#REF!,0)</f>
        <v>#REF!</v>
      </c>
      <c r="V39" s="55" t="e">
        <f>IF($C$5="clearfell",U39+#REF!,0)</f>
        <v>#REF!</v>
      </c>
      <c r="W39" s="55" t="e">
        <f>IF($C$5="clearfell",V39+#REF!,0)</f>
        <v>#REF!</v>
      </c>
      <c r="X39" s="55" t="e">
        <f>IF($C$5="clearfell",W39+#REF!,0)</f>
        <v>#REF!</v>
      </c>
    </row>
    <row r="40" spans="1:24" x14ac:dyDescent="0.25">
      <c r="A40" s="9"/>
      <c r="B40" s="16" t="s">
        <v>161</v>
      </c>
      <c r="C40" s="20"/>
      <c r="D40" s="21"/>
      <c r="E40" s="19">
        <f>(E27-E38)*(1-E39)</f>
        <v>38945.437929787855</v>
      </c>
      <c r="F40" s="19">
        <f>(F27-F38)*(1-F39)</f>
        <v>41219.759991616898</v>
      </c>
      <c r="G40" s="19">
        <f t="shared" ref="G40:X40" si="8">(G27-G38)*(1-G39)</f>
        <v>43387.993947770337</v>
      </c>
      <c r="H40" s="19">
        <f t="shared" si="8"/>
        <v>45498.956001709441</v>
      </c>
      <c r="I40" s="19">
        <f t="shared" si="8"/>
        <v>47203.29537252085</v>
      </c>
      <c r="J40" s="19">
        <f>(J27-J38)*(1-J39)</f>
        <v>49110.02029059083</v>
      </c>
      <c r="K40" s="19">
        <f t="shared" si="8"/>
        <v>50801.634712953142</v>
      </c>
      <c r="L40" s="19">
        <f t="shared" si="8"/>
        <v>52252.985113621115</v>
      </c>
      <c r="M40" s="19">
        <f t="shared" si="8"/>
        <v>53616.874301808835</v>
      </c>
      <c r="N40" s="19">
        <f>(N27-N38)*(1-N39)</f>
        <v>55168.772885919017</v>
      </c>
      <c r="O40" s="19" t="e">
        <f t="shared" si="8"/>
        <v>#REF!</v>
      </c>
      <c r="P40" s="19" t="e">
        <f t="shared" si="8"/>
        <v>#REF!</v>
      </c>
      <c r="Q40" s="19" t="e">
        <f t="shared" si="8"/>
        <v>#REF!</v>
      </c>
      <c r="R40" s="19" t="e">
        <f t="shared" si="8"/>
        <v>#REF!</v>
      </c>
      <c r="S40" s="19" t="e">
        <f t="shared" si="8"/>
        <v>#REF!</v>
      </c>
      <c r="T40" s="19" t="e">
        <f t="shared" si="8"/>
        <v>#REF!</v>
      </c>
      <c r="U40" s="19" t="e">
        <f t="shared" si="8"/>
        <v>#REF!</v>
      </c>
      <c r="V40" s="19" t="e">
        <f t="shared" si="8"/>
        <v>#REF!</v>
      </c>
      <c r="W40" s="19" t="e">
        <f t="shared" si="8"/>
        <v>#REF!</v>
      </c>
      <c r="X40" s="19" t="e">
        <f t="shared" si="8"/>
        <v>#REF!</v>
      </c>
    </row>
    <row r="41" spans="1:24" x14ac:dyDescent="0.25">
      <c r="A41" s="9"/>
      <c r="B41" s="22"/>
      <c r="C41" s="9"/>
      <c r="D41" s="82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x14ac:dyDescent="0.25">
      <c r="A42" s="9"/>
      <c r="B42" s="1" t="s">
        <v>160</v>
      </c>
      <c r="C42" s="2"/>
      <c r="D42" s="30"/>
      <c r="E42" s="25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x14ac:dyDescent="0.25">
      <c r="A43" s="32"/>
      <c r="B43" s="3" t="s">
        <v>29</v>
      </c>
      <c r="C43" s="3"/>
      <c r="D43" s="3"/>
      <c r="E43" s="5">
        <f>AnnualCost*(E3-$E$3+1)</f>
        <v>87</v>
      </c>
      <c r="F43" s="5">
        <f t="shared" ref="F43:N43" si="9">E43*(1+DiscRate)+AnnualCost</f>
        <v>180.96</v>
      </c>
      <c r="G43" s="5">
        <f t="shared" si="9"/>
        <v>282.43680000000006</v>
      </c>
      <c r="H43" s="5">
        <f t="shared" si="9"/>
        <v>392.03174400000006</v>
      </c>
      <c r="I43" s="5">
        <f t="shared" si="9"/>
        <v>510.3942835200001</v>
      </c>
      <c r="J43" s="5">
        <f t="shared" si="9"/>
        <v>638.22582620160017</v>
      </c>
      <c r="K43" s="5">
        <f t="shared" si="9"/>
        <v>776.28389229772824</v>
      </c>
      <c r="L43" s="5">
        <f t="shared" si="9"/>
        <v>925.3866036815466</v>
      </c>
      <c r="M43" s="5">
        <f t="shared" si="9"/>
        <v>1086.4175319760704</v>
      </c>
      <c r="N43" s="5">
        <f t="shared" si="9"/>
        <v>1260.3309345341561</v>
      </c>
      <c r="O43" s="5">
        <f t="shared" ref="O43:X43" si="10">AnnualCost*(O3-$E$3+1)</f>
        <v>957</v>
      </c>
      <c r="P43" s="5">
        <f t="shared" si="10"/>
        <v>1044</v>
      </c>
      <c r="Q43" s="5">
        <f t="shared" si="10"/>
        <v>1131</v>
      </c>
      <c r="R43" s="5">
        <f t="shared" si="10"/>
        <v>1218</v>
      </c>
      <c r="S43" s="5">
        <f t="shared" si="10"/>
        <v>1305</v>
      </c>
      <c r="T43" s="5">
        <f t="shared" si="10"/>
        <v>1392</v>
      </c>
      <c r="U43" s="5">
        <f t="shared" si="10"/>
        <v>1479</v>
      </c>
      <c r="V43" s="5">
        <f t="shared" si="10"/>
        <v>1566</v>
      </c>
      <c r="W43" s="5">
        <f t="shared" si="10"/>
        <v>1653</v>
      </c>
      <c r="X43" s="5">
        <f t="shared" si="10"/>
        <v>1740</v>
      </c>
    </row>
    <row r="44" spans="1:24" x14ac:dyDescent="0.25">
      <c r="A44" s="32"/>
      <c r="B44" s="3" t="s">
        <v>30</v>
      </c>
      <c r="C44" s="3"/>
      <c r="D44" s="3"/>
      <c r="E44" s="5">
        <f>Rates*(E3-$E$3+1)</f>
        <v>10</v>
      </c>
      <c r="F44" s="5">
        <f t="shared" ref="F44:N44" si="11">E44*(1+DiscRate)+Rates</f>
        <v>20.8</v>
      </c>
      <c r="G44" s="5">
        <f t="shared" si="11"/>
        <v>32.463999999999999</v>
      </c>
      <c r="H44" s="5">
        <f t="shared" si="11"/>
        <v>45.061120000000003</v>
      </c>
      <c r="I44" s="5">
        <f t="shared" si="11"/>
        <v>58.666009600000002</v>
      </c>
      <c r="J44" s="5">
        <f t="shared" si="11"/>
        <v>73.359290368000003</v>
      </c>
      <c r="K44" s="5">
        <f t="shared" si="11"/>
        <v>89.228033597440003</v>
      </c>
      <c r="L44" s="5">
        <f t="shared" si="11"/>
        <v>106.36627628523522</v>
      </c>
      <c r="M44" s="5">
        <f t="shared" si="11"/>
        <v>124.87557838805404</v>
      </c>
      <c r="N44" s="5">
        <f t="shared" si="11"/>
        <v>144.86562465909836</v>
      </c>
      <c r="O44" s="5">
        <f t="shared" ref="O44:X44" si="12">N44*(1+DiscRate)+AnnualCost</f>
        <v>243.45487463182624</v>
      </c>
      <c r="P44" s="5">
        <f t="shared" si="12"/>
        <v>349.93126460237238</v>
      </c>
      <c r="Q44" s="5">
        <f t="shared" si="12"/>
        <v>464.92576577056218</v>
      </c>
      <c r="R44" s="5">
        <f t="shared" si="12"/>
        <v>589.11982703220724</v>
      </c>
      <c r="S44" s="5">
        <f t="shared" si="12"/>
        <v>723.24941319478387</v>
      </c>
      <c r="T44" s="5">
        <f t="shared" si="12"/>
        <v>868.10936625036663</v>
      </c>
      <c r="U44" s="5">
        <f t="shared" si="12"/>
        <v>1024.558115550396</v>
      </c>
      <c r="V44" s="5">
        <f t="shared" si="12"/>
        <v>1193.5227647944278</v>
      </c>
      <c r="W44" s="5">
        <f t="shared" si="12"/>
        <v>1376.0045859779821</v>
      </c>
      <c r="X44" s="5">
        <f t="shared" si="12"/>
        <v>1573.0849528562208</v>
      </c>
    </row>
    <row r="45" spans="1:24" x14ac:dyDescent="0.25">
      <c r="A45" s="32"/>
      <c r="B45" s="3" t="s">
        <v>31</v>
      </c>
      <c r="C45" s="3"/>
      <c r="D45" s="33"/>
      <c r="E45" s="5">
        <f>LandRate*(E3-$E$3+1)</f>
        <v>70</v>
      </c>
      <c r="F45" s="5">
        <f t="shared" ref="F45:N45" si="13">E45*(1+DiscRate)+LandRate</f>
        <v>145.60000000000002</v>
      </c>
      <c r="G45" s="5">
        <f t="shared" si="13"/>
        <v>227.24800000000005</v>
      </c>
      <c r="H45" s="5">
        <f t="shared" si="13"/>
        <v>315.42784000000006</v>
      </c>
      <c r="I45" s="5">
        <f t="shared" si="13"/>
        <v>410.66206720000008</v>
      </c>
      <c r="J45" s="5">
        <f t="shared" si="13"/>
        <v>513.51503257600007</v>
      </c>
      <c r="K45" s="5">
        <f t="shared" si="13"/>
        <v>624.59623518208014</v>
      </c>
      <c r="L45" s="5">
        <f t="shared" si="13"/>
        <v>744.5639339966466</v>
      </c>
      <c r="M45" s="5">
        <f t="shared" si="13"/>
        <v>874.12904871637841</v>
      </c>
      <c r="N45" s="5">
        <f t="shared" si="13"/>
        <v>1014.0593726136888</v>
      </c>
      <c r="O45" s="5" t="e">
        <f>#REF!</f>
        <v>#REF!</v>
      </c>
      <c r="P45" s="5" t="e">
        <f>#REF!</f>
        <v>#REF!</v>
      </c>
      <c r="Q45" s="5" t="e">
        <f>#REF!</f>
        <v>#REF!</v>
      </c>
      <c r="R45" s="5" t="e">
        <f>#REF!</f>
        <v>#REF!</v>
      </c>
      <c r="S45" s="5" t="e">
        <f>#REF!</f>
        <v>#REF!</v>
      </c>
      <c r="T45" s="5" t="e">
        <f>#REF!</f>
        <v>#REF!</v>
      </c>
      <c r="U45" s="5" t="e">
        <f>#REF!</f>
        <v>#REF!</v>
      </c>
      <c r="V45" s="5" t="e">
        <f>#REF!</f>
        <v>#REF!</v>
      </c>
      <c r="W45" s="5" t="e">
        <f>#REF!</f>
        <v>#REF!</v>
      </c>
      <c r="X45" s="5" t="e">
        <f>#REF!</f>
        <v>#REF!</v>
      </c>
    </row>
    <row r="46" spans="1:24" x14ac:dyDescent="0.25">
      <c r="A46" s="32"/>
      <c r="B46" s="16" t="s">
        <v>70</v>
      </c>
      <c r="C46" s="20"/>
      <c r="D46" s="21"/>
      <c r="E46" s="19">
        <f>SUM(E43:E45)</f>
        <v>167</v>
      </c>
      <c r="F46" s="19">
        <f t="shared" ref="F46:X46" si="14">SUM(F43:F45)</f>
        <v>347.36</v>
      </c>
      <c r="G46" s="19">
        <f t="shared" si="14"/>
        <v>542.14880000000016</v>
      </c>
      <c r="H46" s="19">
        <f t="shared" si="14"/>
        <v>752.52070400000014</v>
      </c>
      <c r="I46" s="19">
        <f t="shared" si="14"/>
        <v>979.72236032000023</v>
      </c>
      <c r="J46" s="19">
        <f t="shared" si="14"/>
        <v>1225.1001491456002</v>
      </c>
      <c r="K46" s="19">
        <f t="shared" si="14"/>
        <v>1490.1081610772485</v>
      </c>
      <c r="L46" s="19">
        <f t="shared" si="14"/>
        <v>1776.3168139634286</v>
      </c>
      <c r="M46" s="19">
        <f t="shared" si="14"/>
        <v>2085.4221590805028</v>
      </c>
      <c r="N46" s="19">
        <f t="shared" si="14"/>
        <v>2419.2559318069434</v>
      </c>
      <c r="O46" s="19" t="e">
        <f t="shared" si="14"/>
        <v>#REF!</v>
      </c>
      <c r="P46" s="19" t="e">
        <f t="shared" si="14"/>
        <v>#REF!</v>
      </c>
      <c r="Q46" s="19" t="e">
        <f t="shared" si="14"/>
        <v>#REF!</v>
      </c>
      <c r="R46" s="19" t="e">
        <f t="shared" si="14"/>
        <v>#REF!</v>
      </c>
      <c r="S46" s="19" t="e">
        <f t="shared" si="14"/>
        <v>#REF!</v>
      </c>
      <c r="T46" s="19" t="e">
        <f t="shared" si="14"/>
        <v>#REF!</v>
      </c>
      <c r="U46" s="19" t="e">
        <f t="shared" si="14"/>
        <v>#REF!</v>
      </c>
      <c r="V46" s="19" t="e">
        <f t="shared" si="14"/>
        <v>#REF!</v>
      </c>
      <c r="W46" s="19" t="e">
        <f t="shared" si="14"/>
        <v>#REF!</v>
      </c>
      <c r="X46" s="19" t="e">
        <f t="shared" si="14"/>
        <v>#REF!</v>
      </c>
    </row>
    <row r="47" spans="1:24" hidden="1" x14ac:dyDescent="0.25">
      <c r="A47" s="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idden="1" x14ac:dyDescent="0.25">
      <c r="A48" s="32"/>
      <c r="B48" s="16" t="s">
        <v>32</v>
      </c>
      <c r="C48" s="20"/>
      <c r="D48" s="21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9" hidden="1" x14ac:dyDescent="0.25">
      <c r="A49" s="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9" x14ac:dyDescent="0.25">
      <c r="A50" s="32"/>
      <c r="B50" s="16" t="s">
        <v>159</v>
      </c>
      <c r="C50" s="20"/>
      <c r="D50" s="21"/>
      <c r="E50" s="19">
        <f t="shared" ref="E50:X50" si="15">E40-E46</f>
        <v>38778.437929787855</v>
      </c>
      <c r="F50" s="19">
        <f t="shared" si="15"/>
        <v>40872.399991616898</v>
      </c>
      <c r="G50" s="19">
        <f t="shared" si="15"/>
        <v>42845.845147770335</v>
      </c>
      <c r="H50" s="19">
        <f t="shared" si="15"/>
        <v>44746.435297709439</v>
      </c>
      <c r="I50" s="19">
        <f t="shared" si="15"/>
        <v>46223.573012200846</v>
      </c>
      <c r="J50" s="19">
        <f t="shared" si="15"/>
        <v>47884.920141445233</v>
      </c>
      <c r="K50" s="19">
        <f t="shared" si="15"/>
        <v>49311.526551875897</v>
      </c>
      <c r="L50" s="19">
        <f t="shared" si="15"/>
        <v>50476.668299657686</v>
      </c>
      <c r="M50" s="19">
        <f t="shared" si="15"/>
        <v>51531.452142728333</v>
      </c>
      <c r="N50" s="19">
        <f t="shared" si="15"/>
        <v>52749.51695411207</v>
      </c>
      <c r="O50" s="19" t="e">
        <f t="shared" si="15"/>
        <v>#REF!</v>
      </c>
      <c r="P50" s="19" t="e">
        <f t="shared" si="15"/>
        <v>#REF!</v>
      </c>
      <c r="Q50" s="19" t="e">
        <f t="shared" si="15"/>
        <v>#REF!</v>
      </c>
      <c r="R50" s="19" t="e">
        <f t="shared" si="15"/>
        <v>#REF!</v>
      </c>
      <c r="S50" s="19" t="e">
        <f t="shared" si="15"/>
        <v>#REF!</v>
      </c>
      <c r="T50" s="19" t="e">
        <f t="shared" si="15"/>
        <v>#REF!</v>
      </c>
      <c r="U50" s="19" t="e">
        <f t="shared" si="15"/>
        <v>#REF!</v>
      </c>
      <c r="V50" s="19" t="e">
        <f t="shared" si="15"/>
        <v>#REF!</v>
      </c>
      <c r="W50" s="19" t="e">
        <f t="shared" si="15"/>
        <v>#REF!</v>
      </c>
      <c r="X50" s="19" t="e">
        <f t="shared" si="15"/>
        <v>#REF!</v>
      </c>
    </row>
    <row r="51" spans="1:29" x14ac:dyDescent="0.25">
      <c r="A51" s="32"/>
      <c r="B51" s="22"/>
      <c r="C51" s="9"/>
      <c r="D51" s="82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43"/>
      <c r="P51" s="43"/>
      <c r="Q51" s="43"/>
      <c r="R51" s="43"/>
      <c r="S51" s="43"/>
      <c r="T51" s="43"/>
      <c r="U51" s="43"/>
      <c r="V51" s="43"/>
      <c r="W51" s="43"/>
      <c r="X51" s="43"/>
    </row>
    <row r="52" spans="1:29" x14ac:dyDescent="0.25">
      <c r="A52" s="32"/>
      <c r="B52" s="1" t="s">
        <v>19</v>
      </c>
      <c r="C52" s="85" t="s">
        <v>169</v>
      </c>
      <c r="D52" s="82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43"/>
      <c r="P52" s="43"/>
      <c r="Q52" s="43"/>
      <c r="R52" s="43"/>
      <c r="S52" s="43"/>
      <c r="T52" s="43"/>
      <c r="U52" s="43"/>
      <c r="V52" s="43"/>
      <c r="W52" s="43"/>
      <c r="X52" s="43"/>
    </row>
    <row r="53" spans="1:29" x14ac:dyDescent="0.25">
      <c r="A53" s="32"/>
      <c r="B53" s="10" t="s">
        <v>168</v>
      </c>
      <c r="C53" s="85">
        <f>Inputs!U10</f>
        <v>0</v>
      </c>
      <c r="D53" s="82"/>
      <c r="E53" s="5">
        <f>Inputs!$T10/(1+DiscRate)^($C53+(E$3-$E$3))</f>
        <v>1050</v>
      </c>
      <c r="F53" s="5">
        <f>Inputs!$T10/(1+DiscRate)^($C53+(F$3-$E$3))</f>
        <v>972.22222222222217</v>
      </c>
      <c r="G53" s="5">
        <f>Inputs!$T10/(1+DiscRate)^($C53+(G$3-$E$3))</f>
        <v>900.20576131687233</v>
      </c>
      <c r="H53" s="5">
        <f>Inputs!$T10/(1+DiscRate)^($C53+(H$3-$E$3))</f>
        <v>833.52385307117811</v>
      </c>
      <c r="I53" s="5">
        <f>Inputs!$T10/(1+DiscRate)^($C53+(I$3-$E$3))</f>
        <v>771.78134543627596</v>
      </c>
      <c r="J53" s="5">
        <f>Inputs!$T10/(1+DiscRate)^($C53+(J$3-$E$3))</f>
        <v>714.6123568854407</v>
      </c>
      <c r="K53" s="5">
        <f>Inputs!$T10/(1+DiscRate)^($C53+(K$3-$E$3))</f>
        <v>661.67810822725983</v>
      </c>
      <c r="L53" s="5">
        <f>Inputs!$T10/(1+DiscRate)^($C53+(L$3-$E$3))</f>
        <v>612.66491502524048</v>
      </c>
      <c r="M53" s="5">
        <f>Inputs!$T10/(1+DiscRate)^($C53+(M$3-$E$3))</f>
        <v>567.28232872707451</v>
      </c>
      <c r="N53" s="5">
        <f>Inputs!$T10/(1+DiscRate)^($C53+(N$3-$E$3))</f>
        <v>525.26141548803196</v>
      </c>
      <c r="O53" s="43"/>
      <c r="P53" s="43"/>
      <c r="Q53" s="43"/>
      <c r="R53" s="43"/>
      <c r="S53" s="43"/>
      <c r="T53" s="43"/>
      <c r="U53" s="43"/>
      <c r="V53" s="43"/>
      <c r="W53" s="43"/>
      <c r="X53" s="43"/>
      <c r="Z53" s="22"/>
      <c r="AA53" s="73"/>
      <c r="AB53" s="22"/>
      <c r="AC53" s="73"/>
    </row>
    <row r="54" spans="1:29" x14ac:dyDescent="0.25">
      <c r="A54" s="32"/>
      <c r="B54" s="10" t="s">
        <v>165</v>
      </c>
      <c r="C54" s="85">
        <f>Inputs!U11</f>
        <v>2</v>
      </c>
      <c r="D54" s="82"/>
      <c r="E54" s="5">
        <f>Inputs!$T11/(1+DiscRate)^($C54+(E$3-$E$3))</f>
        <v>257.20164609053495</v>
      </c>
      <c r="F54" s="5">
        <f>Inputs!$T11/(1+DiscRate)^($C54+(F$3-$E$3))</f>
        <v>238.14967230605089</v>
      </c>
      <c r="G54" s="5">
        <f>Inputs!$T11/(1+DiscRate)^($C54+(G$3-$E$3))</f>
        <v>220.50895583893598</v>
      </c>
      <c r="H54" s="5">
        <f>Inputs!$T11/(1+DiscRate)^($C54+(H$3-$E$3))</f>
        <v>204.17495911012591</v>
      </c>
      <c r="I54" s="5">
        <f>Inputs!$T11/(1+DiscRate)^($C54+(I$3-$E$3))</f>
        <v>189.05088806493137</v>
      </c>
      <c r="J54" s="5">
        <f>Inputs!$T11/(1+DiscRate)^($C54+(J$3-$E$3))</f>
        <v>175.04711857864015</v>
      </c>
      <c r="K54" s="5">
        <f>Inputs!$T11/(1+DiscRate)^($C54+(K$3-$E$3))</f>
        <v>162.08066535059274</v>
      </c>
      <c r="L54" s="5">
        <f>Inputs!$T11/(1+DiscRate)^($C54+(L$3-$E$3))</f>
        <v>150.07469013943771</v>
      </c>
      <c r="M54" s="5">
        <f>Inputs!$T11/(1+DiscRate)^($C54+(M$3-$E$3))</f>
        <v>138.95804642540529</v>
      </c>
      <c r="N54" s="5">
        <f>Inputs!$T11/(1+DiscRate)^($C54+(N$3-$E$3))</f>
        <v>128.6648578013012</v>
      </c>
      <c r="O54" s="43"/>
      <c r="P54" s="43"/>
      <c r="Q54" s="43"/>
      <c r="R54" s="43"/>
      <c r="S54" s="43"/>
      <c r="T54" s="43"/>
      <c r="U54" s="43"/>
      <c r="V54" s="43"/>
      <c r="W54" s="43"/>
      <c r="X54" s="43"/>
      <c r="Z54" s="22"/>
      <c r="AA54" s="73"/>
      <c r="AB54" s="22"/>
      <c r="AC54" s="73"/>
    </row>
    <row r="55" spans="1:29" x14ac:dyDescent="0.25">
      <c r="A55" s="32"/>
      <c r="B55" s="10" t="s">
        <v>167</v>
      </c>
      <c r="C55" s="85">
        <f>Inputs!U12</f>
        <v>5</v>
      </c>
      <c r="D55" s="82"/>
      <c r="E55" s="5">
        <f>Inputs!$T12/(1+DiscRate)^($C55+(E$3-$E$3))</f>
        <v>646.55403718206537</v>
      </c>
      <c r="F55" s="5">
        <f>Inputs!$T12/(1+DiscRate)^($C55+(F$3-$E$3))</f>
        <v>598.66114553894931</v>
      </c>
      <c r="G55" s="5">
        <f>Inputs!$T12/(1+DiscRate)^($C55+(G$3-$E$3))</f>
        <v>554.31587549902713</v>
      </c>
      <c r="H55" s="5">
        <f>Inputs!$T12/(1+DiscRate)^($C55+(H$3-$E$3))</f>
        <v>513.25544027687693</v>
      </c>
      <c r="I55" s="5">
        <f>Inputs!$T12/(1+DiscRate)^($C55+(I$3-$E$3))</f>
        <v>475.23651877488606</v>
      </c>
      <c r="J55" s="5">
        <f>Inputs!$T12/(1+DiscRate)^($C55+(J$3-$E$3))</f>
        <v>440.03381368045007</v>
      </c>
      <c r="K55" s="5">
        <f>Inputs!$T12/(1+DiscRate)^($C55+(K$3-$E$3))</f>
        <v>407.43871637078706</v>
      </c>
      <c r="L55" s="5">
        <f>Inputs!$T12/(1+DiscRate)^($C55+(L$3-$E$3))</f>
        <v>377.25807071369172</v>
      </c>
      <c r="M55" s="5">
        <f>Inputs!$T12/(1+DiscRate)^($C55+(M$3-$E$3))</f>
        <v>349.31302843860345</v>
      </c>
      <c r="N55" s="5">
        <f>Inputs!$T12/(1+DiscRate)^($C55+(N$3-$E$3))</f>
        <v>323.43798929500309</v>
      </c>
      <c r="O55" s="43"/>
      <c r="P55" s="43"/>
      <c r="Q55" s="43"/>
      <c r="R55" s="43"/>
      <c r="S55" s="43"/>
      <c r="T55" s="43"/>
      <c r="U55" s="43"/>
      <c r="V55" s="43"/>
      <c r="W55" s="43"/>
      <c r="X55" s="43"/>
      <c r="Z55" s="22"/>
      <c r="AA55" s="73"/>
      <c r="AB55" s="22"/>
      <c r="AC55" s="73"/>
    </row>
    <row r="56" spans="1:29" x14ac:dyDescent="0.25">
      <c r="A56" s="32"/>
      <c r="B56" s="10" t="s">
        <v>171</v>
      </c>
      <c r="C56" s="85">
        <f>Inputs!U13</f>
        <v>7</v>
      </c>
      <c r="D56" s="82"/>
      <c r="E56" s="5">
        <f>Inputs!$T13/(1+DiscRate)^($C56+(E$3-$E$3))</f>
        <v>758.53751384077395</v>
      </c>
      <c r="F56" s="5">
        <f>Inputs!$T13/(1+DiscRate)^($C56+(F$3-$E$3))</f>
        <v>702.34954985256854</v>
      </c>
      <c r="G56" s="5">
        <f>Inputs!$T13/(1+DiscRate)^($C56+(G$3-$E$3))</f>
        <v>650.32365727089666</v>
      </c>
      <c r="H56" s="5">
        <f>Inputs!$T13/(1+DiscRate)^($C56+(H$3-$E$3))</f>
        <v>602.1515345100895</v>
      </c>
      <c r="I56" s="5">
        <f>Inputs!$T13/(1+DiscRate)^($C56+(I$3-$E$3))</f>
        <v>557.54771713897185</v>
      </c>
      <c r="J56" s="5">
        <f>Inputs!$T13/(1+DiscRate)^($C56+(J$3-$E$3))</f>
        <v>516.24788623978861</v>
      </c>
      <c r="K56" s="5">
        <f>Inputs!$T13/(1+DiscRate)^($C56+(K$3-$E$3))</f>
        <v>478.00730207387841</v>
      </c>
      <c r="L56" s="5">
        <f>Inputs!$T13/(1+DiscRate)^($C56+(L$3-$E$3))</f>
        <v>442.59935377210951</v>
      </c>
      <c r="M56" s="5">
        <f>Inputs!$T13/(1+DiscRate)^($C56+(M$3-$E$3))</f>
        <v>409.81421645565695</v>
      </c>
      <c r="N56" s="5">
        <f>Inputs!$T13/(1+DiscRate)^($C56+(N$3-$E$3))</f>
        <v>379.457607829312</v>
      </c>
      <c r="O56" s="43"/>
      <c r="P56" s="43"/>
      <c r="Q56" s="43"/>
      <c r="R56" s="43"/>
      <c r="S56" s="43"/>
      <c r="T56" s="43"/>
      <c r="U56" s="43"/>
      <c r="V56" s="43"/>
      <c r="W56" s="43"/>
      <c r="X56" s="43"/>
      <c r="Z56" s="22"/>
      <c r="AA56" s="73"/>
      <c r="AB56" s="22"/>
      <c r="AC56" s="73"/>
    </row>
    <row r="57" spans="1:29" x14ac:dyDescent="0.25">
      <c r="A57" s="32"/>
      <c r="B57" s="10" t="s">
        <v>166</v>
      </c>
      <c r="C57" s="85">
        <f>Inputs!U14</f>
        <v>8</v>
      </c>
      <c r="D57" s="82"/>
      <c r="E57" s="5">
        <f>Inputs!$T14/(1+DiscRate)^($C57+(E$3-$E$3))</f>
        <v>459.22855182667939</v>
      </c>
      <c r="F57" s="5">
        <f>Inputs!$T14/(1+DiscRate)^($C57+(F$3-$E$3))</f>
        <v>425.21162206174017</v>
      </c>
      <c r="G57" s="5">
        <f>Inputs!$T14/(1+DiscRate)^($C57+(G$3-$E$3))</f>
        <v>393.71446487198159</v>
      </c>
      <c r="H57" s="5">
        <f>Inputs!$T14/(1+DiscRate)^($C57+(H$3-$E$3))</f>
        <v>364.55043043702</v>
      </c>
      <c r="I57" s="5">
        <f>Inputs!$T14/(1+DiscRate)^($C57+(I$3-$E$3))</f>
        <v>337.5466948490926</v>
      </c>
      <c r="J57" s="5">
        <f>Inputs!$T14/(1+DiscRate)^($C57+(J$3-$E$3))</f>
        <v>312.54323597138205</v>
      </c>
      <c r="K57" s="5">
        <f>Inputs!$T14/(1+DiscRate)^($C57+(K$3-$E$3))</f>
        <v>289.39188515868699</v>
      </c>
      <c r="L57" s="5">
        <f>Inputs!$T14/(1+DiscRate)^($C57+(L$3-$E$3))</f>
        <v>267.95544922100646</v>
      </c>
      <c r="M57" s="5">
        <f>Inputs!$T14/(1+DiscRate)^($C57+(M$3-$E$3))</f>
        <v>248.10689742685784</v>
      </c>
      <c r="N57" s="5">
        <f>Inputs!$T14/(1+DiscRate)^($C57+(N$3-$E$3))</f>
        <v>229.72860872857208</v>
      </c>
      <c r="O57" s="43"/>
      <c r="P57" s="43"/>
      <c r="Q57" s="43"/>
      <c r="R57" s="43"/>
      <c r="S57" s="43"/>
      <c r="T57" s="43"/>
      <c r="U57" s="43"/>
      <c r="V57" s="43"/>
      <c r="W57" s="43"/>
      <c r="X57" s="43"/>
      <c r="Z57" s="22"/>
      <c r="AA57" s="73"/>
      <c r="AB57" s="22"/>
      <c r="AC57" s="73"/>
    </row>
    <row r="58" spans="1:29" x14ac:dyDescent="0.25">
      <c r="A58" s="32"/>
      <c r="B58" s="16" t="s">
        <v>170</v>
      </c>
      <c r="C58" s="20"/>
      <c r="D58" s="21"/>
      <c r="E58" s="19">
        <f>SUM(E53:E57)</f>
        <v>3171.5217489400538</v>
      </c>
      <c r="F58" s="19">
        <f t="shared" ref="F58:N58" si="16">SUM(F53:F57)</f>
        <v>2936.5942119815309</v>
      </c>
      <c r="G58" s="19">
        <f t="shared" si="16"/>
        <v>2719.0687147977133</v>
      </c>
      <c r="H58" s="19">
        <f t="shared" si="16"/>
        <v>2517.6562174052906</v>
      </c>
      <c r="I58" s="19">
        <f t="shared" si="16"/>
        <v>2331.1631642641578</v>
      </c>
      <c r="J58" s="19">
        <f t="shared" si="16"/>
        <v>2158.4844113557015</v>
      </c>
      <c r="K58" s="19">
        <f t="shared" si="16"/>
        <v>1998.5966771812052</v>
      </c>
      <c r="L58" s="19">
        <f t="shared" si="16"/>
        <v>1850.5524788714861</v>
      </c>
      <c r="M58" s="19">
        <f t="shared" si="16"/>
        <v>1713.4745174735981</v>
      </c>
      <c r="N58" s="19">
        <f t="shared" si="16"/>
        <v>1586.5504791422204</v>
      </c>
      <c r="O58" s="43"/>
      <c r="P58" s="43"/>
      <c r="Q58" s="43"/>
      <c r="R58" s="43"/>
      <c r="S58" s="43"/>
      <c r="T58" s="43"/>
      <c r="U58" s="43"/>
      <c r="V58" s="43"/>
      <c r="W58" s="43"/>
      <c r="X58" s="43"/>
      <c r="Z58" s="63" t="s">
        <v>95</v>
      </c>
      <c r="AA58" s="62">
        <f>MAX(E59:N59)</f>
        <v>35606.916180847802</v>
      </c>
    </row>
    <row r="59" spans="1:29" x14ac:dyDescent="0.25">
      <c r="A59" s="32"/>
      <c r="B59" s="78" t="s">
        <v>101</v>
      </c>
      <c r="C59" s="79"/>
      <c r="D59" s="80"/>
      <c r="E59" s="81">
        <f t="shared" ref="E59:N59" si="17">E50/(1+DiscRate)^(E3-$E$3)-E58</f>
        <v>35606.916180847802</v>
      </c>
      <c r="F59" s="81">
        <f t="shared" si="17"/>
        <v>34908.22059507115</v>
      </c>
      <c r="G59" s="81">
        <f t="shared" si="17"/>
        <v>34014.337619024584</v>
      </c>
      <c r="H59" s="81">
        <f t="shared" si="17"/>
        <v>33003.506792639411</v>
      </c>
      <c r="I59" s="81">
        <f t="shared" si="17"/>
        <v>31644.542902619942</v>
      </c>
      <c r="J59" s="81">
        <f t="shared" si="17"/>
        <v>30431.187628215048</v>
      </c>
      <c r="K59" s="81">
        <f t="shared" si="17"/>
        <v>29076.029611050733</v>
      </c>
      <c r="L59" s="81">
        <f t="shared" si="17"/>
        <v>27602.098658811396</v>
      </c>
      <c r="M59" s="81">
        <f t="shared" si="17"/>
        <v>26127.365648445186</v>
      </c>
      <c r="N59" s="81">
        <f t="shared" si="17"/>
        <v>24801.340893835728</v>
      </c>
      <c r="O59" s="43" t="e">
        <f>O50/(1+#REF!)^(O3-2018)</f>
        <v>#REF!</v>
      </c>
      <c r="P59" s="43" t="e">
        <f>P50/(1+#REF!)^(P3-2018)</f>
        <v>#REF!</v>
      </c>
      <c r="Q59" s="43" t="e">
        <f>Q50/(1+#REF!)^(Q3-2018)</f>
        <v>#REF!</v>
      </c>
      <c r="R59" s="43" t="e">
        <f>R50/(1+#REF!)^(R3-2018)</f>
        <v>#REF!</v>
      </c>
      <c r="S59" s="43" t="e">
        <f>S50/(1+#REF!)^(S3-2018)</f>
        <v>#REF!</v>
      </c>
      <c r="T59" s="43" t="e">
        <f>T50/(1+#REF!)^(T3-2018)</f>
        <v>#REF!</v>
      </c>
      <c r="U59" s="43" t="e">
        <f>U50/(1+#REF!)^(U3-2018)</f>
        <v>#REF!</v>
      </c>
      <c r="V59" s="43" t="e">
        <f>V50/(1+#REF!)^(V3-2018)</f>
        <v>#REF!</v>
      </c>
      <c r="W59" s="43" t="e">
        <f>W50/(1+#REF!)^(W3-2018)</f>
        <v>#REF!</v>
      </c>
      <c r="X59" s="43" t="e">
        <f>X50/(1+#REF!)^(X3-2018)</f>
        <v>#REF!</v>
      </c>
      <c r="Z59" s="63" t="s">
        <v>104</v>
      </c>
      <c r="AA59" s="62">
        <f>HLOOKUP($AA$58,$E$59:$N$61,3,FALSE)</f>
        <v>25</v>
      </c>
      <c r="AB59" s="63" t="s">
        <v>145</v>
      </c>
      <c r="AC59" s="62">
        <f>MAX(E60:N60)</f>
        <v>41695.155420344869</v>
      </c>
    </row>
    <row r="60" spans="1:29" hidden="1" x14ac:dyDescent="0.25">
      <c r="B60" s="40" t="s">
        <v>148</v>
      </c>
      <c r="C60" s="41"/>
      <c r="D60" s="42"/>
      <c r="E60" s="43">
        <f t="shared" ref="E60:N60" si="18">E59*((1+DiscRate)^E4)/(((1+DiscRate)^E4)-1)</f>
        <v>41695.155420344869</v>
      </c>
      <c r="F60" s="43">
        <f t="shared" si="18"/>
        <v>40365.739815559886</v>
      </c>
      <c r="G60" s="43">
        <f t="shared" si="18"/>
        <v>38881.83023776421</v>
      </c>
      <c r="H60" s="43">
        <f t="shared" si="18"/>
        <v>37330.640193004154</v>
      </c>
      <c r="I60" s="43">
        <f t="shared" si="18"/>
        <v>35449.219710035526</v>
      </c>
      <c r="J60" s="43">
        <f t="shared" si="18"/>
        <v>33789.053649260706</v>
      </c>
      <c r="K60" s="43">
        <f t="shared" si="18"/>
        <v>32022.62503434284</v>
      </c>
      <c r="L60" s="43">
        <f t="shared" si="18"/>
        <v>30172.82468100918</v>
      </c>
      <c r="M60" s="43">
        <f t="shared" si="18"/>
        <v>28365.054461450705</v>
      </c>
      <c r="N60" s="43">
        <f t="shared" si="18"/>
        <v>26755.720702918115</v>
      </c>
      <c r="AB60" s="63" t="s">
        <v>104</v>
      </c>
      <c r="AC60" s="62">
        <f>HLOOKUP($AC$59,$E$60:$N$61,2,FALSE)</f>
        <v>25</v>
      </c>
    </row>
    <row r="61" spans="1:29" hidden="1" x14ac:dyDescent="0.25">
      <c r="B61" s="36"/>
      <c r="C61" s="47"/>
      <c r="D61" t="s">
        <v>103</v>
      </c>
      <c r="E61" s="74">
        <f>E4</f>
        <v>25</v>
      </c>
      <c r="F61" s="74">
        <f t="shared" ref="F61:N61" si="19">F4</f>
        <v>26</v>
      </c>
      <c r="G61" s="74">
        <f t="shared" si="19"/>
        <v>27</v>
      </c>
      <c r="H61" s="74">
        <f t="shared" si="19"/>
        <v>28</v>
      </c>
      <c r="I61" s="74">
        <f t="shared" si="19"/>
        <v>29</v>
      </c>
      <c r="J61" s="74">
        <f t="shared" si="19"/>
        <v>30</v>
      </c>
      <c r="K61" s="74">
        <f t="shared" si="19"/>
        <v>31</v>
      </c>
      <c r="L61" s="74">
        <f t="shared" si="19"/>
        <v>32</v>
      </c>
      <c r="M61" s="74">
        <f t="shared" si="19"/>
        <v>33</v>
      </c>
      <c r="N61" s="74">
        <f t="shared" si="19"/>
        <v>34</v>
      </c>
    </row>
    <row r="62" spans="1:29" hidden="1" x14ac:dyDescent="0.25">
      <c r="B62" s="36"/>
      <c r="C62" s="47"/>
      <c r="D62" t="s">
        <v>134</v>
      </c>
      <c r="E62" s="74">
        <f>E17</f>
        <v>601.80691999999999</v>
      </c>
      <c r="F62" s="74">
        <f t="shared" ref="F62:N62" si="20">F17</f>
        <v>630.82060699999988</v>
      </c>
      <c r="G62" s="74">
        <f t="shared" si="20"/>
        <v>657.57085999999993</v>
      </c>
      <c r="H62" s="74">
        <f t="shared" si="20"/>
        <v>685.20588000000009</v>
      </c>
      <c r="I62" s="74">
        <f t="shared" si="20"/>
        <v>712.26719000000003</v>
      </c>
      <c r="J62" s="74">
        <f t="shared" si="20"/>
        <v>737.35731999999996</v>
      </c>
      <c r="K62" s="74">
        <f t="shared" si="20"/>
        <v>759.85401999999988</v>
      </c>
      <c r="L62" s="74">
        <f t="shared" si="20"/>
        <v>783.05142000000001</v>
      </c>
      <c r="M62" s="74">
        <f t="shared" si="20"/>
        <v>804.57810000000006</v>
      </c>
      <c r="N62" s="74">
        <f t="shared" si="20"/>
        <v>824.35411999999985</v>
      </c>
    </row>
    <row r="63" spans="1:29" ht="15.75" hidden="1" x14ac:dyDescent="0.25">
      <c r="C63" s="56"/>
      <c r="D63" t="s">
        <v>135</v>
      </c>
      <c r="E63" s="74">
        <f>E16</f>
        <v>386.37985229492199</v>
      </c>
      <c r="F63" s="74">
        <f t="shared" ref="F63:N63" si="21">F16</f>
        <v>384.17996215820301</v>
      </c>
      <c r="G63" s="74">
        <f t="shared" si="21"/>
        <v>381.95452880859398</v>
      </c>
      <c r="H63" s="74">
        <f t="shared" si="21"/>
        <v>379.70669555664102</v>
      </c>
      <c r="I63" s="74">
        <f t="shared" si="21"/>
        <v>377.43948364257801</v>
      </c>
      <c r="J63" s="74">
        <f t="shared" si="21"/>
        <v>375.15570068359398</v>
      </c>
      <c r="K63" s="74">
        <f t="shared" si="21"/>
        <v>372.85803222656301</v>
      </c>
      <c r="L63" s="74">
        <f t="shared" si="21"/>
        <v>370.54885864257801</v>
      </c>
      <c r="M63" s="74">
        <f t="shared" si="21"/>
        <v>368.23052978515602</v>
      </c>
      <c r="N63" s="74">
        <f t="shared" si="21"/>
        <v>365.90518188476602</v>
      </c>
    </row>
    <row r="64" spans="1:29" hidden="1" x14ac:dyDescent="0.25">
      <c r="B64" s="34"/>
      <c r="D64" t="s">
        <v>136</v>
      </c>
      <c r="E64" s="45">
        <f>E38/E17</f>
        <v>74.778826768658618</v>
      </c>
      <c r="F64" s="45">
        <f t="shared" ref="F64:N64" si="22">F38/F17</f>
        <v>74.603090603603249</v>
      </c>
      <c r="G64" s="45">
        <f t="shared" si="22"/>
        <v>74.468425928180579</v>
      </c>
      <c r="H64" s="45">
        <f t="shared" si="22"/>
        <v>74.235109232220836</v>
      </c>
      <c r="I64" s="45">
        <f t="shared" si="22"/>
        <v>74.072382885094001</v>
      </c>
      <c r="J64" s="45">
        <f t="shared" si="22"/>
        <v>73.928842130624005</v>
      </c>
      <c r="K64" s="45">
        <f t="shared" si="22"/>
        <v>73.8373003635093</v>
      </c>
      <c r="L64" s="45">
        <f t="shared" si="22"/>
        <v>73.727814003759804</v>
      </c>
      <c r="M64" s="45">
        <f t="shared" si="22"/>
        <v>73.604161261635127</v>
      </c>
      <c r="N64" s="45">
        <f t="shared" si="22"/>
        <v>73.550756705018941</v>
      </c>
    </row>
    <row r="65" spans="2:30" hidden="1" x14ac:dyDescent="0.25">
      <c r="B65" s="37"/>
      <c r="D65" t="s">
        <v>147</v>
      </c>
      <c r="E65" s="73">
        <f>E40</f>
        <v>38945.437929787855</v>
      </c>
      <c r="F65" s="73">
        <f t="shared" ref="F65:N65" si="23">F40</f>
        <v>41219.759991616898</v>
      </c>
      <c r="G65" s="73">
        <f t="shared" si="23"/>
        <v>43387.993947770337</v>
      </c>
      <c r="H65" s="73">
        <f t="shared" si="23"/>
        <v>45498.956001709441</v>
      </c>
      <c r="I65" s="73">
        <f t="shared" si="23"/>
        <v>47203.29537252085</v>
      </c>
      <c r="J65" s="73">
        <f t="shared" si="23"/>
        <v>49110.02029059083</v>
      </c>
      <c r="K65" s="73">
        <f t="shared" si="23"/>
        <v>50801.634712953142</v>
      </c>
      <c r="L65" s="73">
        <f t="shared" si="23"/>
        <v>52252.985113621115</v>
      </c>
      <c r="M65" s="73">
        <f t="shared" si="23"/>
        <v>53616.874301808835</v>
      </c>
      <c r="N65" s="73">
        <f t="shared" si="23"/>
        <v>55168.772885919017</v>
      </c>
    </row>
    <row r="68" spans="2:30" x14ac:dyDescent="0.25">
      <c r="AD68" s="44"/>
    </row>
    <row r="70" spans="2:30" x14ac:dyDescent="0.25">
      <c r="E70" s="73"/>
      <c r="F70" s="73"/>
      <c r="G70" s="73"/>
      <c r="H70" s="73"/>
      <c r="I70" s="73"/>
      <c r="J70" s="73"/>
      <c r="K70" s="73"/>
      <c r="L70" s="73"/>
      <c r="M70" s="73"/>
      <c r="N70" s="73"/>
    </row>
    <row r="71" spans="2:30" x14ac:dyDescent="0.25"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>
        <f t="shared" ref="O71:X71" si="24">O68-O60</f>
        <v>0</v>
      </c>
      <c r="P71" s="73">
        <f t="shared" si="24"/>
        <v>0</v>
      </c>
      <c r="Q71" s="73">
        <f t="shared" si="24"/>
        <v>0</v>
      </c>
      <c r="R71" s="73">
        <f t="shared" si="24"/>
        <v>0</v>
      </c>
      <c r="S71" s="73">
        <f t="shared" si="24"/>
        <v>0</v>
      </c>
      <c r="T71" s="73">
        <f t="shared" si="24"/>
        <v>0</v>
      </c>
      <c r="U71" s="73">
        <f t="shared" si="24"/>
        <v>0</v>
      </c>
      <c r="V71" s="73">
        <f t="shared" si="24"/>
        <v>0</v>
      </c>
      <c r="W71" s="73">
        <f t="shared" si="24"/>
        <v>0</v>
      </c>
      <c r="X71" s="73">
        <f t="shared" si="24"/>
        <v>0</v>
      </c>
    </row>
    <row r="72" spans="2:30" x14ac:dyDescent="0.25">
      <c r="E72" s="86"/>
      <c r="F72" s="86"/>
      <c r="G72" s="86"/>
      <c r="H72" s="86"/>
      <c r="I72" s="86"/>
      <c r="J72" s="86"/>
      <c r="K72" s="86"/>
      <c r="L72" s="86"/>
      <c r="M72" s="86"/>
      <c r="N72" s="86"/>
    </row>
    <row r="73" spans="2:30" x14ac:dyDescent="0.25">
      <c r="E73" s="86"/>
    </row>
  </sheetData>
  <conditionalFormatting sqref="B46 B48 B4:B6 B50:B51 B27:B28 B59 B38:B41 B53:B56 Z53:Z59 AB53:AB57 AB59:AB60">
    <cfRule type="cellIs" dxfId="11" priority="19" stopIfTrue="1" operator="equal">
      <formula>"hide this row"</formula>
    </cfRule>
  </conditionalFormatting>
  <conditionalFormatting sqref="B17:B18">
    <cfRule type="cellIs" dxfId="10" priority="17" stopIfTrue="1" operator="equal">
      <formula>"hide this row"</formula>
    </cfRule>
  </conditionalFormatting>
  <conditionalFormatting sqref="B8:B11">
    <cfRule type="cellIs" dxfId="9" priority="16" stopIfTrue="1" operator="equal">
      <formula>"hide this row"</formula>
    </cfRule>
  </conditionalFormatting>
  <conditionalFormatting sqref="B12:B16 B19">
    <cfRule type="cellIs" dxfId="8" priority="14" stopIfTrue="1" operator="equal">
      <formula>"hide this row"</formula>
    </cfRule>
  </conditionalFormatting>
  <conditionalFormatting sqref="B24:B26">
    <cfRule type="cellIs" dxfId="7" priority="11" stopIfTrue="1" operator="equal">
      <formula>"hide this row"</formula>
    </cfRule>
  </conditionalFormatting>
  <conditionalFormatting sqref="B20:B23">
    <cfRule type="cellIs" dxfId="6" priority="12" stopIfTrue="1" operator="equal">
      <formula>"hide this row"</formula>
    </cfRule>
  </conditionalFormatting>
  <conditionalFormatting sqref="W5">
    <cfRule type="cellIs" dxfId="5" priority="10" stopIfTrue="1" operator="equal">
      <formula>"hide this row"</formula>
    </cfRule>
  </conditionalFormatting>
  <conditionalFormatting sqref="Z59">
    <cfRule type="cellIs" dxfId="4" priority="8" stopIfTrue="1" operator="equal">
      <formula>"hide this row"</formula>
    </cfRule>
  </conditionalFormatting>
  <conditionalFormatting sqref="AB60">
    <cfRule type="cellIs" dxfId="3" priority="6" stopIfTrue="1" operator="equal">
      <formula>"hide this row"</formula>
    </cfRule>
  </conditionalFormatting>
  <conditionalFormatting sqref="B60">
    <cfRule type="cellIs" dxfId="2" priority="5" stopIfTrue="1" operator="equal">
      <formula>"hide this row"</formula>
    </cfRule>
  </conditionalFormatting>
  <conditionalFormatting sqref="B57">
    <cfRule type="cellIs" dxfId="1" priority="3" stopIfTrue="1" operator="equal">
      <formula>"hide this row"</formula>
    </cfRule>
  </conditionalFormatting>
  <conditionalFormatting sqref="B58">
    <cfRule type="cellIs" dxfId="0" priority="1" stopIfTrue="1" operator="equal">
      <formula>"hide this row"</formula>
    </cfRule>
  </conditionalFormatting>
  <pageMargins left="0.7" right="0.7" top="0.75" bottom="0.75" header="0.3" footer="0.3"/>
  <pageSetup paperSize="9" orientation="portrait" r:id="rId1"/>
  <ignoredErrors>
    <ignoredError sqref="E15:F15 G15:X1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others!$F$4</xm:f>
          </x14:formula1>
          <xm:sqref>C6</xm:sqref>
        </x14:dataValidation>
        <x14:dataValidation type="list" allowBlank="1" showInputMessage="1" showErrorMessage="1">
          <x14:formula1>
            <xm:f>others!$G$3</xm:f>
          </x14:formula1>
          <xm:sqref>C5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3"/>
  <sheetViews>
    <sheetView workbookViewId="0">
      <selection activeCell="B17" sqref="B17"/>
    </sheetView>
  </sheetViews>
  <sheetFormatPr defaultRowHeight="15" x14ac:dyDescent="0.25"/>
  <cols>
    <col min="2" max="2" width="24.7109375" bestFit="1" customWidth="1"/>
    <col min="3" max="3" width="10" bestFit="1" customWidth="1"/>
    <col min="6" max="6" width="10" bestFit="1" customWidth="1"/>
    <col min="7" max="14" width="10.42578125" bestFit="1" customWidth="1"/>
  </cols>
  <sheetData>
    <row r="3" spans="2:22" x14ac:dyDescent="0.25">
      <c r="B3" t="s">
        <v>77</v>
      </c>
      <c r="C3">
        <v>60</v>
      </c>
      <c r="D3">
        <v>55</v>
      </c>
      <c r="E3">
        <v>50</v>
      </c>
      <c r="F3">
        <v>45</v>
      </c>
      <c r="G3" t="s">
        <v>89</v>
      </c>
    </row>
    <row r="4" spans="2:22" x14ac:dyDescent="0.25">
      <c r="B4" t="s">
        <v>81</v>
      </c>
      <c r="C4">
        <v>1</v>
      </c>
      <c r="D4">
        <v>3</v>
      </c>
      <c r="E4">
        <v>0</v>
      </c>
      <c r="F4" t="s">
        <v>94</v>
      </c>
    </row>
    <row r="5" spans="2:22" x14ac:dyDescent="0.25">
      <c r="B5" t="s">
        <v>102</v>
      </c>
      <c r="C5" t="s">
        <v>87</v>
      </c>
      <c r="D5" t="s">
        <v>88</v>
      </c>
    </row>
    <row r="11" spans="2:22" x14ac:dyDescent="0.25"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</row>
    <row r="12" spans="2:22" x14ac:dyDescent="0.25"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</row>
    <row r="13" spans="2:22" x14ac:dyDescent="0.25"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</row>
    <row r="14" spans="2:22" x14ac:dyDescent="0.25"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</row>
    <row r="15" spans="2:22" x14ac:dyDescent="0.25"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</row>
    <row r="16" spans="2:22" x14ac:dyDescent="0.25"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</row>
    <row r="17" spans="3:22" x14ac:dyDescent="0.25"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</row>
    <row r="18" spans="3:22" x14ac:dyDescent="0.25"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</row>
    <row r="19" spans="3:22" x14ac:dyDescent="0.25"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</row>
    <row r="20" spans="3:22" x14ac:dyDescent="0.25"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</row>
    <row r="21" spans="3:22" x14ac:dyDescent="0.25"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</row>
    <row r="22" spans="3:22" x14ac:dyDescent="0.25"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3:22" x14ac:dyDescent="0.25"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Summary</vt:lpstr>
      <vt:lpstr>Inputs</vt:lpstr>
      <vt:lpstr>Cashflow_TDH</vt:lpstr>
      <vt:lpstr>Harvest Lvl</vt:lpstr>
      <vt:lpstr>Clearfelling</vt:lpstr>
      <vt:lpstr>others</vt:lpstr>
      <vt:lpstr>Age</vt:lpstr>
      <vt:lpstr>AnnualCost</vt:lpstr>
      <vt:lpstr>Area</vt:lpstr>
      <vt:lpstr>DiscRate</vt:lpstr>
      <vt:lpstr>DistEx</vt:lpstr>
      <vt:lpstr>DistPulp</vt:lpstr>
      <vt:lpstr>Forest</vt:lpstr>
      <vt:lpstr>HarvestCosts</vt:lpstr>
      <vt:lpstr>Hauler</vt:lpstr>
      <vt:lpstr>LandRate</vt:lpstr>
      <vt:lpstr>Log_prices</vt:lpstr>
      <vt:lpstr>Others</vt:lpstr>
      <vt:lpstr>Rates</vt:lpstr>
      <vt:lpstr>Roading</vt:lpstr>
      <vt:lpstr>Spp</vt:lpstr>
      <vt:lpstr>StandInfo</vt:lpstr>
      <vt:lpstr>YieldTable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2019-03-27T08:37:36Z</dcterms:modified>
</cp:coreProperties>
</file>